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" yWindow="15" windowWidth="20730" windowHeight="11760" activeTab="1"/>
  </bookViews>
  <sheets>
    <sheet name="разд,подр" sheetId="6" r:id="rId1"/>
    <sheet name="ведомств" sheetId="5" r:id="rId2"/>
  </sheets>
  <definedNames>
    <definedName name="_xlnm._FilterDatabase" localSheetId="1" hidden="1">ведомств!$A$16:$J$16</definedName>
    <definedName name="_xlnm.Print_Titles" localSheetId="1">ведомств!$13:$14</definedName>
    <definedName name="_xlnm.Print_Titles" localSheetId="0">'разд,подр'!$13:$14</definedName>
    <definedName name="_xlnm.Print_Area" localSheetId="1">ведомств!$A$1:$S$753</definedName>
    <definedName name="_xlnm.Print_Area" localSheetId="0">'разд,подр'!$A$1:$M$83</definedName>
  </definedNames>
  <calcPr calcId="125725"/>
</workbook>
</file>

<file path=xl/calcChain.xml><?xml version="1.0" encoding="utf-8"?>
<calcChain xmlns="http://schemas.openxmlformats.org/spreadsheetml/2006/main">
  <c r="M642" i="5"/>
  <c r="M624"/>
  <c r="M623"/>
  <c r="M622" s="1"/>
  <c r="P622" s="1"/>
  <c r="R713"/>
  <c r="Q713"/>
  <c r="P713"/>
  <c r="O712"/>
  <c r="N712"/>
  <c r="N711" s="1"/>
  <c r="M712"/>
  <c r="M711" s="1"/>
  <c r="L712"/>
  <c r="R712" s="1"/>
  <c r="K712"/>
  <c r="Q712" s="1"/>
  <c r="J712"/>
  <c r="J711" s="1"/>
  <c r="O711"/>
  <c r="P447"/>
  <c r="Q447"/>
  <c r="R447"/>
  <c r="N445"/>
  <c r="K446"/>
  <c r="K445" s="1"/>
  <c r="Q445" s="1"/>
  <c r="L446"/>
  <c r="L445" s="1"/>
  <c r="R445" s="1"/>
  <c r="M446"/>
  <c r="M445" s="1"/>
  <c r="P445" s="1"/>
  <c r="N446"/>
  <c r="O446"/>
  <c r="O445" s="1"/>
  <c r="J446"/>
  <c r="J445" s="1"/>
  <c r="M338"/>
  <c r="M630"/>
  <c r="Q624"/>
  <c r="R624"/>
  <c r="N622"/>
  <c r="K623"/>
  <c r="K622" s="1"/>
  <c r="Q622" s="1"/>
  <c r="L623"/>
  <c r="L622" s="1"/>
  <c r="R622" s="1"/>
  <c r="N623"/>
  <c r="O623"/>
  <c r="O622" s="1"/>
  <c r="J623"/>
  <c r="J622" s="1"/>
  <c r="M518"/>
  <c r="M371"/>
  <c r="M370" s="1"/>
  <c r="P368"/>
  <c r="Q368"/>
  <c r="R368"/>
  <c r="P371"/>
  <c r="Q371"/>
  <c r="R371"/>
  <c r="K370"/>
  <c r="K369" s="1"/>
  <c r="L370"/>
  <c r="L369" s="1"/>
  <c r="N370"/>
  <c r="N369" s="1"/>
  <c r="O370"/>
  <c r="O369" s="1"/>
  <c r="J370"/>
  <c r="J369"/>
  <c r="K367"/>
  <c r="K366" s="1"/>
  <c r="L367"/>
  <c r="L366" s="1"/>
  <c r="R366" s="1"/>
  <c r="M367"/>
  <c r="M366" s="1"/>
  <c r="P366" s="1"/>
  <c r="N367"/>
  <c r="N366" s="1"/>
  <c r="O367"/>
  <c r="O366" s="1"/>
  <c r="J367"/>
  <c r="J366" s="1"/>
  <c r="P551"/>
  <c r="Q551"/>
  <c r="R551"/>
  <c r="K550"/>
  <c r="Q550" s="1"/>
  <c r="L550"/>
  <c r="M550"/>
  <c r="N550"/>
  <c r="O550"/>
  <c r="J550"/>
  <c r="P624" l="1"/>
  <c r="Q370"/>
  <c r="R446"/>
  <c r="K711"/>
  <c r="Q711" s="1"/>
  <c r="Q623"/>
  <c r="L711"/>
  <c r="R711" s="1"/>
  <c r="Q369"/>
  <c r="P446"/>
  <c r="R623"/>
  <c r="R369"/>
  <c r="Q446"/>
  <c r="R550"/>
  <c r="P711"/>
  <c r="P712"/>
  <c r="Q366"/>
  <c r="R367"/>
  <c r="R370"/>
  <c r="Q367"/>
  <c r="P623"/>
  <c r="M369"/>
  <c r="P369" s="1"/>
  <c r="P370"/>
  <c r="P367"/>
  <c r="P550"/>
  <c r="M457" l="1"/>
  <c r="P589" l="1"/>
  <c r="Q589"/>
  <c r="R589"/>
  <c r="K588"/>
  <c r="K587" s="1"/>
  <c r="K586" s="1"/>
  <c r="L588"/>
  <c r="L587" s="1"/>
  <c r="L586" s="1"/>
  <c r="M588"/>
  <c r="M587" s="1"/>
  <c r="N588"/>
  <c r="N587" s="1"/>
  <c r="N586" s="1"/>
  <c r="O588"/>
  <c r="O587" s="1"/>
  <c r="O586" s="1"/>
  <c r="J588"/>
  <c r="J587" s="1"/>
  <c r="J586" s="1"/>
  <c r="L338"/>
  <c r="K338"/>
  <c r="J338"/>
  <c r="N630"/>
  <c r="Q630" s="1"/>
  <c r="P630"/>
  <c r="R630"/>
  <c r="N629"/>
  <c r="Q629" s="1"/>
  <c r="O629"/>
  <c r="O628" s="1"/>
  <c r="K629"/>
  <c r="K628" s="1"/>
  <c r="L629"/>
  <c r="L628" s="1"/>
  <c r="J629"/>
  <c r="J628" s="1"/>
  <c r="R283"/>
  <c r="Q283"/>
  <c r="P283"/>
  <c r="O282"/>
  <c r="O281" s="1"/>
  <c r="N282"/>
  <c r="N281" s="1"/>
  <c r="M282"/>
  <c r="M281" s="1"/>
  <c r="L282"/>
  <c r="K282"/>
  <c r="J282"/>
  <c r="J281" s="1"/>
  <c r="P276"/>
  <c r="Q276"/>
  <c r="R276"/>
  <c r="K275"/>
  <c r="K274" s="1"/>
  <c r="L275"/>
  <c r="L274" s="1"/>
  <c r="M275"/>
  <c r="M274" s="1"/>
  <c r="N275"/>
  <c r="N274" s="1"/>
  <c r="O275"/>
  <c r="O274" s="1"/>
  <c r="J275"/>
  <c r="J274" s="1"/>
  <c r="P665"/>
  <c r="Q665"/>
  <c r="R665"/>
  <c r="K664"/>
  <c r="K663" s="1"/>
  <c r="K662" s="1"/>
  <c r="K661" s="1"/>
  <c r="K660" s="1"/>
  <c r="K659" s="1"/>
  <c r="L664"/>
  <c r="L663" s="1"/>
  <c r="L662" s="1"/>
  <c r="L661" s="1"/>
  <c r="L660" s="1"/>
  <c r="L659" s="1"/>
  <c r="M664"/>
  <c r="M663" s="1"/>
  <c r="M662" s="1"/>
  <c r="M661" s="1"/>
  <c r="M660" s="1"/>
  <c r="M659" s="1"/>
  <c r="N664"/>
  <c r="N663" s="1"/>
  <c r="N662" s="1"/>
  <c r="N661" s="1"/>
  <c r="N660" s="1"/>
  <c r="N659" s="1"/>
  <c r="O664"/>
  <c r="O663" s="1"/>
  <c r="O662" s="1"/>
  <c r="O661" s="1"/>
  <c r="O660" s="1"/>
  <c r="O659" s="1"/>
  <c r="J664"/>
  <c r="P664" s="1"/>
  <c r="P80"/>
  <c r="Q80"/>
  <c r="R80"/>
  <c r="K79"/>
  <c r="K78" s="1"/>
  <c r="L79"/>
  <c r="L78" s="1"/>
  <c r="M79"/>
  <c r="M78" s="1"/>
  <c r="N79"/>
  <c r="N78" s="1"/>
  <c r="O79"/>
  <c r="O78" s="1"/>
  <c r="J79"/>
  <c r="J78" s="1"/>
  <c r="P524"/>
  <c r="Q524"/>
  <c r="R524"/>
  <c r="K523"/>
  <c r="K522" s="1"/>
  <c r="L523"/>
  <c r="L522" s="1"/>
  <c r="M523"/>
  <c r="M522" s="1"/>
  <c r="N523"/>
  <c r="N522" s="1"/>
  <c r="O523"/>
  <c r="O522" s="1"/>
  <c r="J523"/>
  <c r="J522" s="1"/>
  <c r="P78" l="1"/>
  <c r="R659"/>
  <c r="P522"/>
  <c r="J663"/>
  <c r="J662" s="1"/>
  <c r="J661" s="1"/>
  <c r="J660" s="1"/>
  <c r="Q659"/>
  <c r="R628"/>
  <c r="R274"/>
  <c r="Q274"/>
  <c r="Q587"/>
  <c r="R663"/>
  <c r="R661"/>
  <c r="Q660"/>
  <c r="R664"/>
  <c r="Q663"/>
  <c r="Q661"/>
  <c r="Q282"/>
  <c r="R586"/>
  <c r="R78"/>
  <c r="Q664"/>
  <c r="R662"/>
  <c r="Q275"/>
  <c r="R282"/>
  <c r="M629"/>
  <c r="M628" s="1"/>
  <c r="Q586"/>
  <c r="Q662"/>
  <c r="R660"/>
  <c r="L281"/>
  <c r="R281" s="1"/>
  <c r="N628"/>
  <c r="Q628" s="1"/>
  <c r="R588"/>
  <c r="R587"/>
  <c r="Q588"/>
  <c r="M586"/>
  <c r="P586" s="1"/>
  <c r="P587"/>
  <c r="P588"/>
  <c r="Q522"/>
  <c r="R522"/>
  <c r="R275"/>
  <c r="K281"/>
  <c r="Q281" s="1"/>
  <c r="R629"/>
  <c r="R523"/>
  <c r="P281"/>
  <c r="P282"/>
  <c r="P274"/>
  <c r="P275"/>
  <c r="P79"/>
  <c r="Q78"/>
  <c r="Q523"/>
  <c r="P523"/>
  <c r="R79"/>
  <c r="Q79"/>
  <c r="G77" i="6"/>
  <c r="H77"/>
  <c r="I77"/>
  <c r="G82"/>
  <c r="J82" s="1"/>
  <c r="H82"/>
  <c r="I82"/>
  <c r="L78"/>
  <c r="K78"/>
  <c r="J78"/>
  <c r="L76"/>
  <c r="K76"/>
  <c r="J76"/>
  <c r="L75"/>
  <c r="K75"/>
  <c r="J75"/>
  <c r="L74"/>
  <c r="K74"/>
  <c r="J74"/>
  <c r="L49"/>
  <c r="K49"/>
  <c r="J49"/>
  <c r="L46"/>
  <c r="K46"/>
  <c r="J46"/>
  <c r="L32"/>
  <c r="K32"/>
  <c r="J32"/>
  <c r="L31"/>
  <c r="K31"/>
  <c r="J31"/>
  <c r="L29"/>
  <c r="K29"/>
  <c r="J29"/>
  <c r="L23"/>
  <c r="K23"/>
  <c r="J23"/>
  <c r="M749" i="5"/>
  <c r="N749"/>
  <c r="O749"/>
  <c r="M747"/>
  <c r="M746" s="1"/>
  <c r="M745" s="1"/>
  <c r="M744" s="1"/>
  <c r="M743" s="1"/>
  <c r="M742" s="1"/>
  <c r="N747"/>
  <c r="O747"/>
  <c r="M739"/>
  <c r="N739"/>
  <c r="O739"/>
  <c r="M737"/>
  <c r="N737"/>
  <c r="O737"/>
  <c r="M734"/>
  <c r="M733" s="1"/>
  <c r="N734"/>
  <c r="N733" s="1"/>
  <c r="O734"/>
  <c r="O733" s="1"/>
  <c r="M726"/>
  <c r="M725" s="1"/>
  <c r="M724" s="1"/>
  <c r="M723" s="1"/>
  <c r="M722" s="1"/>
  <c r="M721" s="1"/>
  <c r="N726"/>
  <c r="N725" s="1"/>
  <c r="N724" s="1"/>
  <c r="N723" s="1"/>
  <c r="N722" s="1"/>
  <c r="O726"/>
  <c r="O725" s="1"/>
  <c r="O724" s="1"/>
  <c r="O723" s="1"/>
  <c r="O722" s="1"/>
  <c r="M718"/>
  <c r="M717" s="1"/>
  <c r="M716" s="1"/>
  <c r="M715" s="1"/>
  <c r="N718"/>
  <c r="N717" s="1"/>
  <c r="N716" s="1"/>
  <c r="N715" s="1"/>
  <c r="O718"/>
  <c r="O717" s="1"/>
  <c r="O716" s="1"/>
  <c r="O715" s="1"/>
  <c r="M709"/>
  <c r="M708" s="1"/>
  <c r="N709"/>
  <c r="N708" s="1"/>
  <c r="O709"/>
  <c r="O708" s="1"/>
  <c r="M706"/>
  <c r="M705" s="1"/>
  <c r="N706"/>
  <c r="N705" s="1"/>
  <c r="O706"/>
  <c r="O705" s="1"/>
  <c r="M703"/>
  <c r="M702" s="1"/>
  <c r="M701" s="1"/>
  <c r="N703"/>
  <c r="N702" s="1"/>
  <c r="O703"/>
  <c r="O702" s="1"/>
  <c r="M699"/>
  <c r="M698" s="1"/>
  <c r="N699"/>
  <c r="N698" s="1"/>
  <c r="O699"/>
  <c r="O698" s="1"/>
  <c r="M696"/>
  <c r="M695" s="1"/>
  <c r="N696"/>
  <c r="N695" s="1"/>
  <c r="O696"/>
  <c r="O695" s="1"/>
  <c r="M691"/>
  <c r="M690" s="1"/>
  <c r="M689" s="1"/>
  <c r="N691"/>
  <c r="N690" s="1"/>
  <c r="N689" s="1"/>
  <c r="O691"/>
  <c r="O690" s="1"/>
  <c r="O689" s="1"/>
  <c r="M685"/>
  <c r="N685"/>
  <c r="O685"/>
  <c r="M683"/>
  <c r="N683"/>
  <c r="O683"/>
  <c r="M676"/>
  <c r="M675" s="1"/>
  <c r="M674" s="1"/>
  <c r="N676"/>
  <c r="N675" s="1"/>
  <c r="N674" s="1"/>
  <c r="O676"/>
  <c r="O675" s="1"/>
  <c r="O674" s="1"/>
  <c r="M672"/>
  <c r="M671" s="1"/>
  <c r="M670" s="1"/>
  <c r="M669" s="1"/>
  <c r="N672"/>
  <c r="N671" s="1"/>
  <c r="N670" s="1"/>
  <c r="N669" s="1"/>
  <c r="O672"/>
  <c r="O671" s="1"/>
  <c r="O670" s="1"/>
  <c r="O669" s="1"/>
  <c r="M656"/>
  <c r="M655" s="1"/>
  <c r="N656"/>
  <c r="N655" s="1"/>
  <c r="O656"/>
  <c r="O655" s="1"/>
  <c r="M653"/>
  <c r="M652" s="1"/>
  <c r="N653"/>
  <c r="N652" s="1"/>
  <c r="O653"/>
  <c r="O652" s="1"/>
  <c r="M650"/>
  <c r="M649" s="1"/>
  <c r="N650"/>
  <c r="N649" s="1"/>
  <c r="O650"/>
  <c r="O649" s="1"/>
  <c r="M643"/>
  <c r="N643"/>
  <c r="O643"/>
  <c r="M641"/>
  <c r="N641"/>
  <c r="O641"/>
  <c r="M639"/>
  <c r="N639"/>
  <c r="N638" s="1"/>
  <c r="O639"/>
  <c r="O638" s="1"/>
  <c r="M636"/>
  <c r="M635" s="1"/>
  <c r="N636"/>
  <c r="N635" s="1"/>
  <c r="O636"/>
  <c r="O635" s="1"/>
  <c r="M633"/>
  <c r="M632" s="1"/>
  <c r="N633"/>
  <c r="N632" s="1"/>
  <c r="O633"/>
  <c r="O632" s="1"/>
  <c r="M626"/>
  <c r="M625" s="1"/>
  <c r="M621" s="1"/>
  <c r="N626"/>
  <c r="N625" s="1"/>
  <c r="O626"/>
  <c r="O625" s="1"/>
  <c r="O621" s="1"/>
  <c r="M619"/>
  <c r="M618" s="1"/>
  <c r="M617" s="1"/>
  <c r="N619"/>
  <c r="N618" s="1"/>
  <c r="N617" s="1"/>
  <c r="O619"/>
  <c r="O618" s="1"/>
  <c r="O617" s="1"/>
  <c r="M613"/>
  <c r="M612" s="1"/>
  <c r="N613"/>
  <c r="N612" s="1"/>
  <c r="O613"/>
  <c r="O612" s="1"/>
  <c r="M610"/>
  <c r="M609" s="1"/>
  <c r="N610"/>
  <c r="N609" s="1"/>
  <c r="O610"/>
  <c r="O609" s="1"/>
  <c r="M606"/>
  <c r="M605" s="1"/>
  <c r="M604" s="1"/>
  <c r="N606"/>
  <c r="N605" s="1"/>
  <c r="N604" s="1"/>
  <c r="O606"/>
  <c r="O605" s="1"/>
  <c r="O604" s="1"/>
  <c r="M602"/>
  <c r="M601" s="1"/>
  <c r="M600" s="1"/>
  <c r="M599" s="1"/>
  <c r="N602"/>
  <c r="N601" s="1"/>
  <c r="N600" s="1"/>
  <c r="N599" s="1"/>
  <c r="O602"/>
  <c r="O601" s="1"/>
  <c r="O600" s="1"/>
  <c r="O599" s="1"/>
  <c r="M597"/>
  <c r="M596" s="1"/>
  <c r="N597"/>
  <c r="N596" s="1"/>
  <c r="O597"/>
  <c r="O596" s="1"/>
  <c r="M594"/>
  <c r="M593" s="1"/>
  <c r="N594"/>
  <c r="N593" s="1"/>
  <c r="O594"/>
  <c r="O593" s="1"/>
  <c r="M584"/>
  <c r="N584"/>
  <c r="O584"/>
  <c r="M582"/>
  <c r="N582"/>
  <c r="O582"/>
  <c r="M579"/>
  <c r="N579"/>
  <c r="O579"/>
  <c r="M577"/>
  <c r="N577"/>
  <c r="N576" s="1"/>
  <c r="O577"/>
  <c r="M574"/>
  <c r="M573" s="1"/>
  <c r="N574"/>
  <c r="N573" s="1"/>
  <c r="O574"/>
  <c r="O573" s="1"/>
  <c r="M566"/>
  <c r="M565" s="1"/>
  <c r="M564" s="1"/>
  <c r="N566"/>
  <c r="N565" s="1"/>
  <c r="N564" s="1"/>
  <c r="O566"/>
  <c r="O565" s="1"/>
  <c r="O564" s="1"/>
  <c r="M562"/>
  <c r="M561" s="1"/>
  <c r="N562"/>
  <c r="N561" s="1"/>
  <c r="O562"/>
  <c r="O561" s="1"/>
  <c r="M559"/>
  <c r="M558" s="1"/>
  <c r="N559"/>
  <c r="N558" s="1"/>
  <c r="O559"/>
  <c r="O558" s="1"/>
  <c r="M556"/>
  <c r="M555" s="1"/>
  <c r="N556"/>
  <c r="N555" s="1"/>
  <c r="O556"/>
  <c r="O555" s="1"/>
  <c r="M548"/>
  <c r="N548"/>
  <c r="O548"/>
  <c r="M544"/>
  <c r="M543" s="1"/>
  <c r="M542" s="1"/>
  <c r="M541" s="1"/>
  <c r="N544"/>
  <c r="N543" s="1"/>
  <c r="N542" s="1"/>
  <c r="N541" s="1"/>
  <c r="O544"/>
  <c r="O543" s="1"/>
  <c r="O542" s="1"/>
  <c r="O541" s="1"/>
  <c r="M539"/>
  <c r="M538" s="1"/>
  <c r="N539"/>
  <c r="N538" s="1"/>
  <c r="O539"/>
  <c r="O538" s="1"/>
  <c r="M536"/>
  <c r="N536"/>
  <c r="O536"/>
  <c r="M534"/>
  <c r="N534"/>
  <c r="O534"/>
  <c r="M532"/>
  <c r="N532"/>
  <c r="O532"/>
  <c r="M526"/>
  <c r="M525" s="1"/>
  <c r="N526"/>
  <c r="N525" s="1"/>
  <c r="O526"/>
  <c r="O525" s="1"/>
  <c r="M519"/>
  <c r="N519"/>
  <c r="O519"/>
  <c r="M517"/>
  <c r="N517"/>
  <c r="O517"/>
  <c r="M515"/>
  <c r="N515"/>
  <c r="O515"/>
  <c r="M512"/>
  <c r="M511" s="1"/>
  <c r="N512"/>
  <c r="N511" s="1"/>
  <c r="O512"/>
  <c r="O511" s="1"/>
  <c r="M506"/>
  <c r="M505" s="1"/>
  <c r="M504" s="1"/>
  <c r="N506"/>
  <c r="N505" s="1"/>
  <c r="N504" s="1"/>
  <c r="O506"/>
  <c r="O505" s="1"/>
  <c r="O504" s="1"/>
  <c r="M502"/>
  <c r="M501" s="1"/>
  <c r="N502"/>
  <c r="N501" s="1"/>
  <c r="O502"/>
  <c r="O501" s="1"/>
  <c r="M499"/>
  <c r="M498" s="1"/>
  <c r="N499"/>
  <c r="N498" s="1"/>
  <c r="O499"/>
  <c r="O498" s="1"/>
  <c r="M492"/>
  <c r="N492"/>
  <c r="O492"/>
  <c r="M490"/>
  <c r="N490"/>
  <c r="O490"/>
  <c r="M486"/>
  <c r="M485" s="1"/>
  <c r="M484" s="1"/>
  <c r="N486"/>
  <c r="N485" s="1"/>
  <c r="N484" s="1"/>
  <c r="O486"/>
  <c r="O485" s="1"/>
  <c r="O484" s="1"/>
  <c r="M480"/>
  <c r="M479" s="1"/>
  <c r="N480"/>
  <c r="N479" s="1"/>
  <c r="O480"/>
  <c r="O479" s="1"/>
  <c r="M477"/>
  <c r="M476" s="1"/>
  <c r="N477"/>
  <c r="N476" s="1"/>
  <c r="O477"/>
  <c r="O476" s="1"/>
  <c r="M474"/>
  <c r="M473" s="1"/>
  <c r="N474"/>
  <c r="N473" s="1"/>
  <c r="O474"/>
  <c r="O473" s="1"/>
  <c r="M471"/>
  <c r="M470" s="1"/>
  <c r="N471"/>
  <c r="N470" s="1"/>
  <c r="O471"/>
  <c r="O470" s="1"/>
  <c r="M468"/>
  <c r="M467" s="1"/>
  <c r="N468"/>
  <c r="N467" s="1"/>
  <c r="O468"/>
  <c r="O467" s="1"/>
  <c r="M465"/>
  <c r="M464" s="1"/>
  <c r="N465"/>
  <c r="N464" s="1"/>
  <c r="O465"/>
  <c r="O464" s="1"/>
  <c r="M458"/>
  <c r="N458"/>
  <c r="O458"/>
  <c r="M456"/>
  <c r="N456"/>
  <c r="O456"/>
  <c r="M449"/>
  <c r="M448" s="1"/>
  <c r="N449"/>
  <c r="N448" s="1"/>
  <c r="O449"/>
  <c r="O448" s="1"/>
  <c r="M443"/>
  <c r="N443"/>
  <c r="O443"/>
  <c r="M441"/>
  <c r="N441"/>
  <c r="O441"/>
  <c r="M439"/>
  <c r="N439"/>
  <c r="O439"/>
  <c r="M435"/>
  <c r="M434" s="1"/>
  <c r="M433" s="1"/>
  <c r="M432" s="1"/>
  <c r="N435"/>
  <c r="N434" s="1"/>
  <c r="N433" s="1"/>
  <c r="N432" s="1"/>
  <c r="O435"/>
  <c r="O434" s="1"/>
  <c r="O433" s="1"/>
  <c r="O432" s="1"/>
  <c r="M430"/>
  <c r="M429" s="1"/>
  <c r="N430"/>
  <c r="N429" s="1"/>
  <c r="O430"/>
  <c r="O429" s="1"/>
  <c r="M427"/>
  <c r="M426" s="1"/>
  <c r="N427"/>
  <c r="N426" s="1"/>
  <c r="O427"/>
  <c r="O426" s="1"/>
  <c r="M422"/>
  <c r="M421" s="1"/>
  <c r="M420" s="1"/>
  <c r="N422"/>
  <c r="N421" s="1"/>
  <c r="N420" s="1"/>
  <c r="O422"/>
  <c r="O421" s="1"/>
  <c r="O420" s="1"/>
  <c r="M416"/>
  <c r="M415" s="1"/>
  <c r="M414" s="1"/>
  <c r="M413" s="1"/>
  <c r="G21" i="6" s="1"/>
  <c r="N416" i="5"/>
  <c r="N415" s="1"/>
  <c r="N414" s="1"/>
  <c r="N413" s="1"/>
  <c r="H21" i="6" s="1"/>
  <c r="O416" i="5"/>
  <c r="O415" s="1"/>
  <c r="O414" s="1"/>
  <c r="O413" s="1"/>
  <c r="I21" i="6" s="1"/>
  <c r="M410" i="5"/>
  <c r="N410"/>
  <c r="O410"/>
  <c r="M408"/>
  <c r="M407" s="1"/>
  <c r="N408"/>
  <c r="O408"/>
  <c r="M405"/>
  <c r="N405"/>
  <c r="O405"/>
  <c r="M403"/>
  <c r="N403"/>
  <c r="O403"/>
  <c r="M400"/>
  <c r="N400"/>
  <c r="O400"/>
  <c r="M398"/>
  <c r="N398"/>
  <c r="O398"/>
  <c r="M395"/>
  <c r="M394" s="1"/>
  <c r="N395"/>
  <c r="N394" s="1"/>
  <c r="O395"/>
  <c r="O394" s="1"/>
  <c r="M392"/>
  <c r="N392"/>
  <c r="O392"/>
  <c r="M390"/>
  <c r="N390"/>
  <c r="O390"/>
  <c r="M388"/>
  <c r="N388"/>
  <c r="O388"/>
  <c r="M384"/>
  <c r="M383" s="1"/>
  <c r="M382" s="1"/>
  <c r="N384"/>
  <c r="N383" s="1"/>
  <c r="N382" s="1"/>
  <c r="O384"/>
  <c r="O383" s="1"/>
  <c r="O382" s="1"/>
  <c r="M378"/>
  <c r="M377" s="1"/>
  <c r="M376" s="1"/>
  <c r="M375" s="1"/>
  <c r="G18" i="6" s="1"/>
  <c r="N378" i="5"/>
  <c r="N377" s="1"/>
  <c r="N376" s="1"/>
  <c r="N375" s="1"/>
  <c r="H18" i="6" s="1"/>
  <c r="O378" i="5"/>
  <c r="O377" s="1"/>
  <c r="O376" s="1"/>
  <c r="O375" s="1"/>
  <c r="I18" i="6" s="1"/>
  <c r="M364" i="5"/>
  <c r="M363" s="1"/>
  <c r="N364"/>
  <c r="N363" s="1"/>
  <c r="O364"/>
  <c r="O363" s="1"/>
  <c r="M358"/>
  <c r="M357" s="1"/>
  <c r="M356" s="1"/>
  <c r="M355" s="1"/>
  <c r="G24" i="6" s="1"/>
  <c r="N358" i="5"/>
  <c r="N357" s="1"/>
  <c r="N356" s="1"/>
  <c r="N355" s="1"/>
  <c r="H24" i="6" s="1"/>
  <c r="O358" i="5"/>
  <c r="O357" s="1"/>
  <c r="O356" s="1"/>
  <c r="O355" s="1"/>
  <c r="I24" i="6" s="1"/>
  <c r="M352" i="5"/>
  <c r="N352"/>
  <c r="O352"/>
  <c r="M350"/>
  <c r="M349" s="1"/>
  <c r="M348" s="1"/>
  <c r="M347" s="1"/>
  <c r="M346" s="1"/>
  <c r="N350"/>
  <c r="O350"/>
  <c r="M340"/>
  <c r="M339" s="1"/>
  <c r="N340"/>
  <c r="N339" s="1"/>
  <c r="O340"/>
  <c r="O339" s="1"/>
  <c r="M337"/>
  <c r="M336" s="1"/>
  <c r="N337"/>
  <c r="N336" s="1"/>
  <c r="O337"/>
  <c r="O336" s="1"/>
  <c r="M334"/>
  <c r="M333" s="1"/>
  <c r="N334"/>
  <c r="N333" s="1"/>
  <c r="O334"/>
  <c r="O333" s="1"/>
  <c r="M330"/>
  <c r="M329" s="1"/>
  <c r="M328" s="1"/>
  <c r="M327" s="1"/>
  <c r="N330"/>
  <c r="N329" s="1"/>
  <c r="N328" s="1"/>
  <c r="N327" s="1"/>
  <c r="O330"/>
  <c r="O329" s="1"/>
  <c r="O328" s="1"/>
  <c r="O327" s="1"/>
  <c r="M322"/>
  <c r="M321" s="1"/>
  <c r="M320" s="1"/>
  <c r="M319" s="1"/>
  <c r="N322"/>
  <c r="N321" s="1"/>
  <c r="N320" s="1"/>
  <c r="N319" s="1"/>
  <c r="O322"/>
  <c r="O321" s="1"/>
  <c r="O320" s="1"/>
  <c r="O319" s="1"/>
  <c r="M315"/>
  <c r="M314" s="1"/>
  <c r="N315"/>
  <c r="N314" s="1"/>
  <c r="O315"/>
  <c r="O314" s="1"/>
  <c r="M312"/>
  <c r="M311" s="1"/>
  <c r="N312"/>
  <c r="N311" s="1"/>
  <c r="O312"/>
  <c r="O311" s="1"/>
  <c r="M309"/>
  <c r="N309"/>
  <c r="O309"/>
  <c r="M307"/>
  <c r="N307"/>
  <c r="O307"/>
  <c r="M299"/>
  <c r="N299"/>
  <c r="O299"/>
  <c r="M297"/>
  <c r="N297"/>
  <c r="O297"/>
  <c r="M294"/>
  <c r="M293" s="1"/>
  <c r="N294"/>
  <c r="N293" s="1"/>
  <c r="O294"/>
  <c r="O293" s="1"/>
  <c r="M288"/>
  <c r="M287" s="1"/>
  <c r="N288"/>
  <c r="N287" s="1"/>
  <c r="O288"/>
  <c r="O287" s="1"/>
  <c r="M285"/>
  <c r="M284" s="1"/>
  <c r="N285"/>
  <c r="N284" s="1"/>
  <c r="O285"/>
  <c r="O284" s="1"/>
  <c r="M278"/>
  <c r="M277" s="1"/>
  <c r="M273" s="1"/>
  <c r="N278"/>
  <c r="N277" s="1"/>
  <c r="N273" s="1"/>
  <c r="O278"/>
  <c r="O277" s="1"/>
  <c r="O273" s="1"/>
  <c r="M267"/>
  <c r="N267"/>
  <c r="O267"/>
  <c r="M265"/>
  <c r="M264" s="1"/>
  <c r="M263" s="1"/>
  <c r="N265"/>
  <c r="N264" s="1"/>
  <c r="N263" s="1"/>
  <c r="O265"/>
  <c r="O264" s="1"/>
  <c r="O263" s="1"/>
  <c r="M261"/>
  <c r="M260" s="1"/>
  <c r="M259" s="1"/>
  <c r="N261"/>
  <c r="N260" s="1"/>
  <c r="N259" s="1"/>
  <c r="O261"/>
  <c r="O260" s="1"/>
  <c r="O259" s="1"/>
  <c r="M256"/>
  <c r="N256"/>
  <c r="O256"/>
  <c r="M254"/>
  <c r="N254"/>
  <c r="O254"/>
  <c r="M249"/>
  <c r="N249"/>
  <c r="O249"/>
  <c r="M247"/>
  <c r="N247"/>
  <c r="O247"/>
  <c r="M240"/>
  <c r="M239" s="1"/>
  <c r="N240"/>
  <c r="N239" s="1"/>
  <c r="O240"/>
  <c r="O239" s="1"/>
  <c r="M237"/>
  <c r="M236" s="1"/>
  <c r="N237"/>
  <c r="N236" s="1"/>
  <c r="O237"/>
  <c r="O236" s="1"/>
  <c r="M234"/>
  <c r="M233" s="1"/>
  <c r="N234"/>
  <c r="N233" s="1"/>
  <c r="O234"/>
  <c r="O233" s="1"/>
  <c r="M231"/>
  <c r="M230" s="1"/>
  <c r="N231"/>
  <c r="N230" s="1"/>
  <c r="O231"/>
  <c r="O230" s="1"/>
  <c r="M228"/>
  <c r="M227" s="1"/>
  <c r="N228"/>
  <c r="N227" s="1"/>
  <c r="O228"/>
  <c r="O227" s="1"/>
  <c r="M221"/>
  <c r="M220" s="1"/>
  <c r="M219" s="1"/>
  <c r="N221"/>
  <c r="N220" s="1"/>
  <c r="N219" s="1"/>
  <c r="O221"/>
  <c r="O220" s="1"/>
  <c r="O219" s="1"/>
  <c r="M217"/>
  <c r="M216" s="1"/>
  <c r="M215" s="1"/>
  <c r="N217"/>
  <c r="N216" s="1"/>
  <c r="N215" s="1"/>
  <c r="O217"/>
  <c r="O216" s="1"/>
  <c r="O215" s="1"/>
  <c r="M213"/>
  <c r="M212" s="1"/>
  <c r="N213"/>
  <c r="N212" s="1"/>
  <c r="O213"/>
  <c r="O212" s="1"/>
  <c r="M210"/>
  <c r="M209" s="1"/>
  <c r="N210"/>
  <c r="N209" s="1"/>
  <c r="O210"/>
  <c r="O209" s="1"/>
  <c r="M207"/>
  <c r="M206" s="1"/>
  <c r="N207"/>
  <c r="N206" s="1"/>
  <c r="O207"/>
  <c r="O206" s="1"/>
  <c r="M204"/>
  <c r="M203" s="1"/>
  <c r="N204"/>
  <c r="N203" s="1"/>
  <c r="O204"/>
  <c r="O203" s="1"/>
  <c r="M201"/>
  <c r="N201"/>
  <c r="O201"/>
  <c r="M197"/>
  <c r="N197"/>
  <c r="O197"/>
  <c r="M190"/>
  <c r="M189" s="1"/>
  <c r="M188" s="1"/>
  <c r="N190"/>
  <c r="N189" s="1"/>
  <c r="N188" s="1"/>
  <c r="O190"/>
  <c r="O189" s="1"/>
  <c r="O188" s="1"/>
  <c r="M186"/>
  <c r="M185" s="1"/>
  <c r="M184" s="1"/>
  <c r="N186"/>
  <c r="N185" s="1"/>
  <c r="N184" s="1"/>
  <c r="O186"/>
  <c r="O185" s="1"/>
  <c r="O184" s="1"/>
  <c r="M182"/>
  <c r="M181" s="1"/>
  <c r="N182"/>
  <c r="N181" s="1"/>
  <c r="O182"/>
  <c r="O181" s="1"/>
  <c r="M179"/>
  <c r="M178" s="1"/>
  <c r="N179"/>
  <c r="N178" s="1"/>
  <c r="O179"/>
  <c r="O178" s="1"/>
  <c r="M176"/>
  <c r="M175" s="1"/>
  <c r="N176"/>
  <c r="N175" s="1"/>
  <c r="O176"/>
  <c r="O175" s="1"/>
  <c r="M173"/>
  <c r="M172" s="1"/>
  <c r="N173"/>
  <c r="N172" s="1"/>
  <c r="O173"/>
  <c r="O172" s="1"/>
  <c r="M170"/>
  <c r="M169" s="1"/>
  <c r="N170"/>
  <c r="N169" s="1"/>
  <c r="O170"/>
  <c r="O169" s="1"/>
  <c r="M167"/>
  <c r="M166" s="1"/>
  <c r="N167"/>
  <c r="N166" s="1"/>
  <c r="O167"/>
  <c r="O166" s="1"/>
  <c r="M164"/>
  <c r="M163" s="1"/>
  <c r="N164"/>
  <c r="N163" s="1"/>
  <c r="O164"/>
  <c r="O163" s="1"/>
  <c r="M157"/>
  <c r="M156" s="1"/>
  <c r="N157"/>
  <c r="N156" s="1"/>
  <c r="O157"/>
  <c r="O156" s="1"/>
  <c r="M154"/>
  <c r="M153" s="1"/>
  <c r="N154"/>
  <c r="N153" s="1"/>
  <c r="O154"/>
  <c r="O153" s="1"/>
  <c r="M151"/>
  <c r="M150" s="1"/>
  <c r="N151"/>
  <c r="N150" s="1"/>
  <c r="O151"/>
  <c r="O150" s="1"/>
  <c r="M148"/>
  <c r="M147" s="1"/>
  <c r="N148"/>
  <c r="N147" s="1"/>
  <c r="O148"/>
  <c r="O147" s="1"/>
  <c r="M139"/>
  <c r="N139"/>
  <c r="O139"/>
  <c r="M137"/>
  <c r="N137"/>
  <c r="O137"/>
  <c r="M134"/>
  <c r="N134"/>
  <c r="O134"/>
  <c r="M132"/>
  <c r="N132"/>
  <c r="O132"/>
  <c r="M125"/>
  <c r="M124" s="1"/>
  <c r="M123" s="1"/>
  <c r="M122" s="1"/>
  <c r="M121" s="1"/>
  <c r="N125"/>
  <c r="N124" s="1"/>
  <c r="N123" s="1"/>
  <c r="N122" s="1"/>
  <c r="N121" s="1"/>
  <c r="O125"/>
  <c r="O124" s="1"/>
  <c r="O123" s="1"/>
  <c r="O122" s="1"/>
  <c r="O121" s="1"/>
  <c r="M118"/>
  <c r="N118"/>
  <c r="O118"/>
  <c r="M116"/>
  <c r="N116"/>
  <c r="O116"/>
  <c r="M114"/>
  <c r="N114"/>
  <c r="O114"/>
  <c r="M108"/>
  <c r="M107" s="1"/>
  <c r="N108"/>
  <c r="N107" s="1"/>
  <c r="O108"/>
  <c r="O107" s="1"/>
  <c r="M105"/>
  <c r="M104" s="1"/>
  <c r="N105"/>
  <c r="N104" s="1"/>
  <c r="O105"/>
  <c r="O104" s="1"/>
  <c r="M101"/>
  <c r="M100" s="1"/>
  <c r="N101"/>
  <c r="N100" s="1"/>
  <c r="O101"/>
  <c r="O100" s="1"/>
  <c r="M98"/>
  <c r="M97" s="1"/>
  <c r="N98"/>
  <c r="N97" s="1"/>
  <c r="O98"/>
  <c r="O97" s="1"/>
  <c r="M95"/>
  <c r="M94" s="1"/>
  <c r="N95"/>
  <c r="N94" s="1"/>
  <c r="O95"/>
  <c r="O94" s="1"/>
  <c r="M92"/>
  <c r="M91" s="1"/>
  <c r="N92"/>
  <c r="N91" s="1"/>
  <c r="O92"/>
  <c r="O91" s="1"/>
  <c r="M89"/>
  <c r="M88" s="1"/>
  <c r="N89"/>
  <c r="N88" s="1"/>
  <c r="O89"/>
  <c r="O88" s="1"/>
  <c r="M86"/>
  <c r="M85" s="1"/>
  <c r="N86"/>
  <c r="N85" s="1"/>
  <c r="O86"/>
  <c r="O85" s="1"/>
  <c r="M83"/>
  <c r="M82" s="1"/>
  <c r="N83"/>
  <c r="N82" s="1"/>
  <c r="O83"/>
  <c r="O82" s="1"/>
  <c r="M76"/>
  <c r="M75" s="1"/>
  <c r="N76"/>
  <c r="N75" s="1"/>
  <c r="O76"/>
  <c r="O75" s="1"/>
  <c r="M73"/>
  <c r="M72" s="1"/>
  <c r="N73"/>
  <c r="N72" s="1"/>
  <c r="O73"/>
  <c r="O72" s="1"/>
  <c r="M70"/>
  <c r="M69" s="1"/>
  <c r="N70"/>
  <c r="N69" s="1"/>
  <c r="O70"/>
  <c r="O69" s="1"/>
  <c r="M67"/>
  <c r="M66" s="1"/>
  <c r="N67"/>
  <c r="N66" s="1"/>
  <c r="O67"/>
  <c r="O66" s="1"/>
  <c r="M64"/>
  <c r="M63" s="1"/>
  <c r="N64"/>
  <c r="N63" s="1"/>
  <c r="O64"/>
  <c r="O63" s="1"/>
  <c r="M61"/>
  <c r="M60" s="1"/>
  <c r="N61"/>
  <c r="N60" s="1"/>
  <c r="O61"/>
  <c r="O60" s="1"/>
  <c r="M53"/>
  <c r="M52" s="1"/>
  <c r="M51" s="1"/>
  <c r="M50" s="1"/>
  <c r="N53"/>
  <c r="N52" s="1"/>
  <c r="N51" s="1"/>
  <c r="N50" s="1"/>
  <c r="O53"/>
  <c r="O52" s="1"/>
  <c r="O51" s="1"/>
  <c r="O50" s="1"/>
  <c r="M47"/>
  <c r="M46" s="1"/>
  <c r="N47"/>
  <c r="N46" s="1"/>
  <c r="O47"/>
  <c r="O46" s="1"/>
  <c r="M44"/>
  <c r="M43" s="1"/>
  <c r="N44"/>
  <c r="N43" s="1"/>
  <c r="O44"/>
  <c r="O43" s="1"/>
  <c r="M41"/>
  <c r="N41"/>
  <c r="O41"/>
  <c r="M38"/>
  <c r="M37" s="1"/>
  <c r="N38"/>
  <c r="N37" s="1"/>
  <c r="O38"/>
  <c r="O37" s="1"/>
  <c r="M30"/>
  <c r="M29" s="1"/>
  <c r="M28" s="1"/>
  <c r="N30"/>
  <c r="N29" s="1"/>
  <c r="N28" s="1"/>
  <c r="O30"/>
  <c r="O29" s="1"/>
  <c r="O28" s="1"/>
  <c r="M26"/>
  <c r="M25" s="1"/>
  <c r="M24" s="1"/>
  <c r="N26"/>
  <c r="N25" s="1"/>
  <c r="N24" s="1"/>
  <c r="O26"/>
  <c r="O25" s="1"/>
  <c r="O24" s="1"/>
  <c r="M22"/>
  <c r="M21" s="1"/>
  <c r="M20" s="1"/>
  <c r="N22"/>
  <c r="N21" s="1"/>
  <c r="N20" s="1"/>
  <c r="O22"/>
  <c r="O21" s="1"/>
  <c r="O20" s="1"/>
  <c r="R752"/>
  <c r="Q752"/>
  <c r="P752"/>
  <c r="R750"/>
  <c r="Q750"/>
  <c r="P750"/>
  <c r="R748"/>
  <c r="Q748"/>
  <c r="P748"/>
  <c r="R740"/>
  <c r="Q740"/>
  <c r="P740"/>
  <c r="R738"/>
  <c r="Q738"/>
  <c r="P738"/>
  <c r="R735"/>
  <c r="Q735"/>
  <c r="P735"/>
  <c r="R727"/>
  <c r="Q727"/>
  <c r="P727"/>
  <c r="R719"/>
  <c r="Q719"/>
  <c r="P719"/>
  <c r="R710"/>
  <c r="Q710"/>
  <c r="P710"/>
  <c r="R707"/>
  <c r="Q707"/>
  <c r="P707"/>
  <c r="R704"/>
  <c r="Q704"/>
  <c r="P704"/>
  <c r="R700"/>
  <c r="Q700"/>
  <c r="P700"/>
  <c r="R697"/>
  <c r="Q697"/>
  <c r="P697"/>
  <c r="R692"/>
  <c r="Q692"/>
  <c r="P692"/>
  <c r="R686"/>
  <c r="Q686"/>
  <c r="P686"/>
  <c r="R684"/>
  <c r="Q684"/>
  <c r="P684"/>
  <c r="R677"/>
  <c r="Q677"/>
  <c r="P677"/>
  <c r="R673"/>
  <c r="Q673"/>
  <c r="P673"/>
  <c r="R657"/>
  <c r="Q657"/>
  <c r="P657"/>
  <c r="R654"/>
  <c r="Q654"/>
  <c r="P654"/>
  <c r="R651"/>
  <c r="Q651"/>
  <c r="P651"/>
  <c r="R644"/>
  <c r="Q644"/>
  <c r="P644"/>
  <c r="R640"/>
  <c r="Q640"/>
  <c r="P640"/>
  <c r="R637"/>
  <c r="Q637"/>
  <c r="P637"/>
  <c r="R634"/>
  <c r="Q634"/>
  <c r="P634"/>
  <c r="R627"/>
  <c r="Q627"/>
  <c r="P627"/>
  <c r="R620"/>
  <c r="Q620"/>
  <c r="P620"/>
  <c r="R611"/>
  <c r="Q611"/>
  <c r="P611"/>
  <c r="R607"/>
  <c r="Q607"/>
  <c r="P607"/>
  <c r="R603"/>
  <c r="Q603"/>
  <c r="P603"/>
  <c r="R598"/>
  <c r="Q598"/>
  <c r="P598"/>
  <c r="R595"/>
  <c r="Q595"/>
  <c r="P595"/>
  <c r="R585"/>
  <c r="Q585"/>
  <c r="P585"/>
  <c r="R583"/>
  <c r="Q583"/>
  <c r="P583"/>
  <c r="R580"/>
  <c r="Q580"/>
  <c r="P580"/>
  <c r="R578"/>
  <c r="Q578"/>
  <c r="P578"/>
  <c r="R575"/>
  <c r="Q575"/>
  <c r="P575"/>
  <c r="R567"/>
  <c r="Q567"/>
  <c r="P567"/>
  <c r="R563"/>
  <c r="Q563"/>
  <c r="P563"/>
  <c r="R560"/>
  <c r="Q560"/>
  <c r="P560"/>
  <c r="R557"/>
  <c r="Q557"/>
  <c r="P557"/>
  <c r="R549"/>
  <c r="Q549"/>
  <c r="P549"/>
  <c r="R545"/>
  <c r="Q545"/>
  <c r="P545"/>
  <c r="R540"/>
  <c r="Q540"/>
  <c r="P540"/>
  <c r="R537"/>
  <c r="Q537"/>
  <c r="P537"/>
  <c r="R535"/>
  <c r="Q535"/>
  <c r="P535"/>
  <c r="R533"/>
  <c r="Q533"/>
  <c r="P533"/>
  <c r="R527"/>
  <c r="Q527"/>
  <c r="P527"/>
  <c r="R521"/>
  <c r="Q521"/>
  <c r="P521"/>
  <c r="R520"/>
  <c r="Q520"/>
  <c r="P520"/>
  <c r="R513"/>
  <c r="Q513"/>
  <c r="P513"/>
  <c r="R507"/>
  <c r="Q507"/>
  <c r="P507"/>
  <c r="R503"/>
  <c r="Q503"/>
  <c r="P503"/>
  <c r="R500"/>
  <c r="Q500"/>
  <c r="P500"/>
  <c r="R493"/>
  <c r="Q493"/>
  <c r="P493"/>
  <c r="R491"/>
  <c r="Q491"/>
  <c r="P491"/>
  <c r="R487"/>
  <c r="Q487"/>
  <c r="P487"/>
  <c r="R481"/>
  <c r="Q481"/>
  <c r="P481"/>
  <c r="R478"/>
  <c r="Q478"/>
  <c r="P478"/>
  <c r="R475"/>
  <c r="Q475"/>
  <c r="P475"/>
  <c r="R472"/>
  <c r="Q472"/>
  <c r="P472"/>
  <c r="R466"/>
  <c r="Q466"/>
  <c r="P466"/>
  <c r="R459"/>
  <c r="Q459"/>
  <c r="P459"/>
  <c r="R450"/>
  <c r="Q450"/>
  <c r="P450"/>
  <c r="R444"/>
  <c r="Q444"/>
  <c r="P444"/>
  <c r="R442"/>
  <c r="Q442"/>
  <c r="P442"/>
  <c r="R440"/>
  <c r="Q440"/>
  <c r="P440"/>
  <c r="R436"/>
  <c r="Q436"/>
  <c r="P436"/>
  <c r="R431"/>
  <c r="Q431"/>
  <c r="P431"/>
  <c r="R428"/>
  <c r="Q428"/>
  <c r="P428"/>
  <c r="R417"/>
  <c r="Q417"/>
  <c r="P417"/>
  <c r="R411"/>
  <c r="Q411"/>
  <c r="P411"/>
  <c r="R406"/>
  <c r="Q406"/>
  <c r="P406"/>
  <c r="R401"/>
  <c r="Q401"/>
  <c r="P401"/>
  <c r="R396"/>
  <c r="Q396"/>
  <c r="P396"/>
  <c r="R385"/>
  <c r="Q385"/>
  <c r="P385"/>
  <c r="R379"/>
  <c r="Q379"/>
  <c r="P379"/>
  <c r="R365"/>
  <c r="Q365"/>
  <c r="P365"/>
  <c r="R359"/>
  <c r="Q359"/>
  <c r="P359"/>
  <c r="R353"/>
  <c r="Q353"/>
  <c r="P353"/>
  <c r="R351"/>
  <c r="Q351"/>
  <c r="P351"/>
  <c r="R345"/>
  <c r="Q345"/>
  <c r="P345"/>
  <c r="R341"/>
  <c r="Q341"/>
  <c r="P341"/>
  <c r="R335"/>
  <c r="Q335"/>
  <c r="P335"/>
  <c r="R331"/>
  <c r="Q331"/>
  <c r="P331"/>
  <c r="R323"/>
  <c r="Q323"/>
  <c r="P323"/>
  <c r="R316"/>
  <c r="Q316"/>
  <c r="P316"/>
  <c r="R313"/>
  <c r="Q313"/>
  <c r="P313"/>
  <c r="R310"/>
  <c r="Q310"/>
  <c r="P310"/>
  <c r="R308"/>
  <c r="Q308"/>
  <c r="P308"/>
  <c r="R300"/>
  <c r="Q300"/>
  <c r="P300"/>
  <c r="R295"/>
  <c r="Q295"/>
  <c r="P295"/>
  <c r="R279"/>
  <c r="Q279"/>
  <c r="P279"/>
  <c r="R268"/>
  <c r="Q268"/>
  <c r="P268"/>
  <c r="R266"/>
  <c r="Q266"/>
  <c r="P266"/>
  <c r="R262"/>
  <c r="Q262"/>
  <c r="P262"/>
  <c r="R258"/>
  <c r="Q258"/>
  <c r="P258"/>
  <c r="R257"/>
  <c r="Q257"/>
  <c r="P257"/>
  <c r="R255"/>
  <c r="Q255"/>
  <c r="P255"/>
  <c r="R251"/>
  <c r="Q251"/>
  <c r="P251"/>
  <c r="R250"/>
  <c r="Q250"/>
  <c r="P250"/>
  <c r="R248"/>
  <c r="Q248"/>
  <c r="P248"/>
  <c r="R241"/>
  <c r="Q241"/>
  <c r="P241"/>
  <c r="R238"/>
  <c r="Q238"/>
  <c r="P238"/>
  <c r="R235"/>
  <c r="Q235"/>
  <c r="P235"/>
  <c r="R232"/>
  <c r="Q232"/>
  <c r="P232"/>
  <c r="R229"/>
  <c r="Q229"/>
  <c r="P229"/>
  <c r="R222"/>
  <c r="Q222"/>
  <c r="P222"/>
  <c r="R218"/>
  <c r="Q218"/>
  <c r="P218"/>
  <c r="R214"/>
  <c r="Q214"/>
  <c r="P214"/>
  <c r="R211"/>
  <c r="Q211"/>
  <c r="P211"/>
  <c r="R208"/>
  <c r="Q208"/>
  <c r="P208"/>
  <c r="R202"/>
  <c r="Q202"/>
  <c r="P202"/>
  <c r="R200"/>
  <c r="Q200"/>
  <c r="P200"/>
  <c r="R199"/>
  <c r="Q199"/>
  <c r="P199"/>
  <c r="R198"/>
  <c r="Q198"/>
  <c r="R191"/>
  <c r="Q191"/>
  <c r="P191"/>
  <c r="R187"/>
  <c r="Q187"/>
  <c r="P187"/>
  <c r="R183"/>
  <c r="Q183"/>
  <c r="P183"/>
  <c r="R180"/>
  <c r="Q180"/>
  <c r="P180"/>
  <c r="R177"/>
  <c r="Q177"/>
  <c r="P177"/>
  <c r="R174"/>
  <c r="Q174"/>
  <c r="P174"/>
  <c r="R171"/>
  <c r="Q171"/>
  <c r="P171"/>
  <c r="R168"/>
  <c r="Q168"/>
  <c r="P168"/>
  <c r="R158"/>
  <c r="Q158"/>
  <c r="P158"/>
  <c r="R155"/>
  <c r="Q155"/>
  <c r="P155"/>
  <c r="R152"/>
  <c r="Q152"/>
  <c r="P152"/>
  <c r="R140"/>
  <c r="Q140"/>
  <c r="P140"/>
  <c r="R138"/>
  <c r="Q138"/>
  <c r="P138"/>
  <c r="R135"/>
  <c r="Q135"/>
  <c r="P135"/>
  <c r="R133"/>
  <c r="Q133"/>
  <c r="P133"/>
  <c r="R126"/>
  <c r="Q126"/>
  <c r="P126"/>
  <c r="R119"/>
  <c r="Q119"/>
  <c r="P119"/>
  <c r="R117"/>
  <c r="Q117"/>
  <c r="P117"/>
  <c r="R115"/>
  <c r="Q115"/>
  <c r="P115"/>
  <c r="R109"/>
  <c r="Q109"/>
  <c r="P109"/>
  <c r="R102"/>
  <c r="R99"/>
  <c r="Q99"/>
  <c r="P99"/>
  <c r="R96"/>
  <c r="Q96"/>
  <c r="P96"/>
  <c r="R93"/>
  <c r="Q93"/>
  <c r="P93"/>
  <c r="R90"/>
  <c r="Q90"/>
  <c r="P90"/>
  <c r="R84"/>
  <c r="Q84"/>
  <c r="P84"/>
  <c r="R77"/>
  <c r="Q77"/>
  <c r="P77"/>
  <c r="R74"/>
  <c r="Q74"/>
  <c r="P74"/>
  <c r="R71"/>
  <c r="Q71"/>
  <c r="P71"/>
  <c r="R65"/>
  <c r="Q65"/>
  <c r="P65"/>
  <c r="R62"/>
  <c r="Q62"/>
  <c r="R54"/>
  <c r="Q54"/>
  <c r="P54"/>
  <c r="R48"/>
  <c r="Q48"/>
  <c r="P48"/>
  <c r="R42"/>
  <c r="Q42"/>
  <c r="P42"/>
  <c r="R39"/>
  <c r="Q39"/>
  <c r="P39"/>
  <c r="R31"/>
  <c r="Q31"/>
  <c r="P31"/>
  <c r="R23"/>
  <c r="Q23"/>
  <c r="P23"/>
  <c r="P662" l="1"/>
  <c r="M438"/>
  <c r="M437" s="1"/>
  <c r="P661"/>
  <c r="M246"/>
  <c r="M245" s="1"/>
  <c r="N349"/>
  <c r="N348" s="1"/>
  <c r="N347" s="1"/>
  <c r="N346" s="1"/>
  <c r="O407"/>
  <c r="O682"/>
  <c r="O681" s="1"/>
  <c r="O680" s="1"/>
  <c r="I67" i="6" s="1"/>
  <c r="O701" i="5"/>
  <c r="N531"/>
  <c r="N621"/>
  <c r="N701"/>
  <c r="P663"/>
  <c r="P628"/>
  <c r="N362"/>
  <c r="N361" s="1"/>
  <c r="N344" s="1"/>
  <c r="N343" s="1"/>
  <c r="M362"/>
  <c r="M361" s="1"/>
  <c r="M344" s="1"/>
  <c r="M343" s="1"/>
  <c r="O362"/>
  <c r="O361" s="1"/>
  <c r="N131"/>
  <c r="M196"/>
  <c r="O246"/>
  <c r="O245" s="1"/>
  <c r="O306"/>
  <c r="N407"/>
  <c r="M489"/>
  <c r="M488" s="1"/>
  <c r="M483" s="1"/>
  <c r="G34" i="6" s="1"/>
  <c r="O547" i="5"/>
  <c r="O546" s="1"/>
  <c r="P629"/>
  <c r="J659"/>
  <c r="P659" s="1"/>
  <c r="P660"/>
  <c r="O196"/>
  <c r="N547"/>
  <c r="N546" s="1"/>
  <c r="N631"/>
  <c r="M547"/>
  <c r="M546" s="1"/>
  <c r="O280"/>
  <c r="O272" s="1"/>
  <c r="O271" s="1"/>
  <c r="M131"/>
  <c r="N253"/>
  <c r="N252" s="1"/>
  <c r="M514"/>
  <c r="M510" s="1"/>
  <c r="M509" s="1"/>
  <c r="G38" i="6" s="1"/>
  <c r="M531" i="5"/>
  <c r="N136"/>
  <c r="N130" s="1"/>
  <c r="N129" s="1"/>
  <c r="M253"/>
  <c r="M252" s="1"/>
  <c r="M244" s="1"/>
  <c r="M243" s="1"/>
  <c r="G57" i="6" s="1"/>
  <c r="M296" i="5"/>
  <c r="M292" s="1"/>
  <c r="M291" s="1"/>
  <c r="G70" i="6" s="1"/>
  <c r="M387" i="5"/>
  <c r="N581"/>
  <c r="M736"/>
  <c r="O746"/>
  <c r="O745" s="1"/>
  <c r="O744" s="1"/>
  <c r="O743" s="1"/>
  <c r="O742" s="1"/>
  <c r="M113"/>
  <c r="M112" s="1"/>
  <c r="M111" s="1"/>
  <c r="G61" i="6" s="1"/>
  <c r="N296" i="5"/>
  <c r="N397"/>
  <c r="M576"/>
  <c r="M682"/>
  <c r="M681" s="1"/>
  <c r="M680" s="1"/>
  <c r="G67" i="6" s="1"/>
  <c r="N736" i="5"/>
  <c r="N732" s="1"/>
  <c r="N731" s="1"/>
  <c r="M136"/>
  <c r="M130" s="1"/>
  <c r="M129" s="1"/>
  <c r="N196"/>
  <c r="N195" s="1"/>
  <c r="N194" s="1"/>
  <c r="N193" s="1"/>
  <c r="N306"/>
  <c r="N402"/>
  <c r="N438"/>
  <c r="N437" s="1"/>
  <c r="N455"/>
  <c r="N454" s="1"/>
  <c r="N453" s="1"/>
  <c r="H28" i="6" s="1"/>
  <c r="H27" s="1"/>
  <c r="O514" i="5"/>
  <c r="O576"/>
  <c r="M581"/>
  <c r="N682"/>
  <c r="N681" s="1"/>
  <c r="N680" s="1"/>
  <c r="H67" i="6" s="1"/>
  <c r="N746" i="5"/>
  <c r="N745" s="1"/>
  <c r="N744" s="1"/>
  <c r="N743" s="1"/>
  <c r="N742" s="1"/>
  <c r="M455"/>
  <c r="M454" s="1"/>
  <c r="M453" s="1"/>
  <c r="M452" s="1"/>
  <c r="N280"/>
  <c r="N272" s="1"/>
  <c r="N271" s="1"/>
  <c r="O489"/>
  <c r="O488" s="1"/>
  <c r="O483" s="1"/>
  <c r="I34" i="6" s="1"/>
  <c r="M280" i="5"/>
  <c r="M272" s="1"/>
  <c r="M271" s="1"/>
  <c r="N730"/>
  <c r="N729" s="1"/>
  <c r="H19" i="6"/>
  <c r="N721" i="5"/>
  <c r="H81" i="6"/>
  <c r="H80" s="1"/>
  <c r="O721" i="5"/>
  <c r="I81" i="6"/>
  <c r="I80" s="1"/>
  <c r="M694" i="5"/>
  <c r="M693" s="1"/>
  <c r="M59"/>
  <c r="N246"/>
  <c r="N245" s="1"/>
  <c r="M306"/>
  <c r="M305" s="1"/>
  <c r="M304" s="1"/>
  <c r="M303" s="1"/>
  <c r="N387"/>
  <c r="N386" s="1"/>
  <c r="N381" s="1"/>
  <c r="H20" i="6" s="1"/>
  <c r="O397" i="5"/>
  <c r="M402"/>
  <c r="O425"/>
  <c r="O424" s="1"/>
  <c r="N514"/>
  <c r="N510" s="1"/>
  <c r="N509" s="1"/>
  <c r="H38" i="6" s="1"/>
  <c r="M638" i="5"/>
  <c r="M631" s="1"/>
  <c r="M616" s="1"/>
  <c r="G45" i="6" s="1"/>
  <c r="O694" i="5"/>
  <c r="O693" s="1"/>
  <c r="O136"/>
  <c r="O130" s="1"/>
  <c r="O129" s="1"/>
  <c r="G22" i="6"/>
  <c r="N113" i="5"/>
  <c r="N112" s="1"/>
  <c r="N111" s="1"/>
  <c r="H61" i="6" s="1"/>
  <c r="O131" i="5"/>
  <c r="O253"/>
  <c r="O252" s="1"/>
  <c r="M397"/>
  <c r="O402"/>
  <c r="O581"/>
  <c r="O736"/>
  <c r="O732" s="1"/>
  <c r="O731" s="1"/>
  <c r="G81" i="6"/>
  <c r="G80" s="1"/>
  <c r="N103" i="5"/>
  <c r="N489"/>
  <c r="N488" s="1"/>
  <c r="N483" s="1"/>
  <c r="H34" i="6" s="1"/>
  <c r="O554" i="5"/>
  <c r="O553" s="1"/>
  <c r="I40" i="6" s="1"/>
  <c r="M592" i="5"/>
  <c r="N648"/>
  <c r="N647" s="1"/>
  <c r="O59"/>
  <c r="O510"/>
  <c r="O509" s="1"/>
  <c r="I38" i="6" s="1"/>
  <c r="O592" i="5"/>
  <c r="N59"/>
  <c r="O103"/>
  <c r="M318"/>
  <c r="O318"/>
  <c r="N318"/>
  <c r="O332"/>
  <c r="O326" s="1"/>
  <c r="N332"/>
  <c r="N326" s="1"/>
  <c r="M425"/>
  <c r="M424" s="1"/>
  <c r="O36"/>
  <c r="O35" s="1"/>
  <c r="O34" s="1"/>
  <c r="O146"/>
  <c r="O145" s="1"/>
  <c r="O144" s="1"/>
  <c r="I53" i="6" s="1"/>
  <c r="N497" i="5"/>
  <c r="N496" s="1"/>
  <c r="H37" i="6" s="1"/>
  <c r="O296" i="5"/>
  <c r="O455"/>
  <c r="O454" s="1"/>
  <c r="O453" s="1"/>
  <c r="N452"/>
  <c r="G28" i="6"/>
  <c r="G27" s="1"/>
  <c r="M732" i="5"/>
  <c r="M731" s="1"/>
  <c r="O688"/>
  <c r="N694"/>
  <c r="N693" s="1"/>
  <c r="O668"/>
  <c r="O667" s="1"/>
  <c r="I64" i="6" s="1"/>
  <c r="I63" s="1"/>
  <c r="M668" i="5"/>
  <c r="M667" s="1"/>
  <c r="G64" i="6" s="1"/>
  <c r="G63" s="1"/>
  <c r="N668" i="5"/>
  <c r="N667" s="1"/>
  <c r="H64" i="6" s="1"/>
  <c r="H63" s="1"/>
  <c r="O648" i="5"/>
  <c r="O647" s="1"/>
  <c r="M648"/>
  <c r="M647" s="1"/>
  <c r="O631"/>
  <c r="O616" s="1"/>
  <c r="I45" i="6" s="1"/>
  <c r="N616" i="5"/>
  <c r="H45" i="6" s="1"/>
  <c r="O608" i="5"/>
  <c r="M608"/>
  <c r="N608"/>
  <c r="N592"/>
  <c r="N572"/>
  <c r="N571" s="1"/>
  <c r="N570" s="1"/>
  <c r="M554"/>
  <c r="M553" s="1"/>
  <c r="G40" i="6" s="1"/>
  <c r="N554" i="5"/>
  <c r="N553" s="1"/>
  <c r="H40" i="6" s="1"/>
  <c r="M530" i="5"/>
  <c r="N530"/>
  <c r="O531"/>
  <c r="O530" s="1"/>
  <c r="M497"/>
  <c r="M496" s="1"/>
  <c r="G37" i="6" s="1"/>
  <c r="O497" i="5"/>
  <c r="O496" s="1"/>
  <c r="I37" i="6" s="1"/>
  <c r="N463" i="5"/>
  <c r="N462" s="1"/>
  <c r="O463"/>
  <c r="O462" s="1"/>
  <c r="M463"/>
  <c r="M462" s="1"/>
  <c r="O438"/>
  <c r="O437" s="1"/>
  <c r="N425"/>
  <c r="N424" s="1"/>
  <c r="O387"/>
  <c r="O386" s="1"/>
  <c r="O381" s="1"/>
  <c r="I20" i="6" s="1"/>
  <c r="O349" i="5"/>
  <c r="O348" s="1"/>
  <c r="O347" s="1"/>
  <c r="O346" s="1"/>
  <c r="M332"/>
  <c r="M326" s="1"/>
  <c r="N305"/>
  <c r="N304" s="1"/>
  <c r="N303" s="1"/>
  <c r="O305"/>
  <c r="O304" s="1"/>
  <c r="O303" s="1"/>
  <c r="O292"/>
  <c r="O291" s="1"/>
  <c r="I70" i="6" s="1"/>
  <c r="N292" i="5"/>
  <c r="N291" s="1"/>
  <c r="H70" i="6" s="1"/>
  <c r="O244" i="5"/>
  <c r="O243" s="1"/>
  <c r="I57" i="6" s="1"/>
  <c r="N226" i="5"/>
  <c r="N225" s="1"/>
  <c r="N224" s="1"/>
  <c r="H56" i="6" s="1"/>
  <c r="M226" i="5"/>
  <c r="M225" s="1"/>
  <c r="M224" s="1"/>
  <c r="G56" i="6" s="1"/>
  <c r="O226" i="5"/>
  <c r="O225" s="1"/>
  <c r="O224" s="1"/>
  <c r="I56" i="6" s="1"/>
  <c r="M195" i="5"/>
  <c r="M194" s="1"/>
  <c r="M193" s="1"/>
  <c r="O195"/>
  <c r="O194" s="1"/>
  <c r="O193" s="1"/>
  <c r="N162"/>
  <c r="N161" s="1"/>
  <c r="N160" s="1"/>
  <c r="H54" i="6" s="1"/>
  <c r="M162" i="5"/>
  <c r="M161" s="1"/>
  <c r="M160" s="1"/>
  <c r="G54" i="6" s="1"/>
  <c r="O162" i="5"/>
  <c r="O161" s="1"/>
  <c r="O160" s="1"/>
  <c r="I54" i="6" s="1"/>
  <c r="N146" i="5"/>
  <c r="N145" s="1"/>
  <c r="N144" s="1"/>
  <c r="H53" i="6" s="1"/>
  <c r="M146" i="5"/>
  <c r="M145" s="1"/>
  <c r="M144" s="1"/>
  <c r="G53" i="6" s="1"/>
  <c r="O113" i="5"/>
  <c r="O112" s="1"/>
  <c r="O111" s="1"/>
  <c r="I61" i="6" s="1"/>
  <c r="M103" i="5"/>
  <c r="M81"/>
  <c r="O81"/>
  <c r="N81"/>
  <c r="M36"/>
  <c r="M35" s="1"/>
  <c r="M34" s="1"/>
  <c r="N36"/>
  <c r="N35" s="1"/>
  <c r="N34" s="1"/>
  <c r="O19"/>
  <c r="M19"/>
  <c r="N19"/>
  <c r="R338"/>
  <c r="Q338"/>
  <c r="P338"/>
  <c r="O572" l="1"/>
  <c r="O571" s="1"/>
  <c r="O570" s="1"/>
  <c r="H22" i="6"/>
  <c r="M688" i="5"/>
  <c r="M679" s="1"/>
  <c r="N529"/>
  <c r="H39" i="6" s="1"/>
  <c r="H36" s="1"/>
  <c r="M572" i="5"/>
  <c r="M571" s="1"/>
  <c r="M570" s="1"/>
  <c r="G43" i="6" s="1"/>
  <c r="N244" i="5"/>
  <c r="N243" s="1"/>
  <c r="H57" i="6" s="1"/>
  <c r="O529" i="5"/>
  <c r="I39" i="6" s="1"/>
  <c r="I36" s="1"/>
  <c r="M529" i="5"/>
  <c r="G39" i="6" s="1"/>
  <c r="N128" i="5"/>
  <c r="H73" i="6"/>
  <c r="H72" s="1"/>
  <c r="M386" i="5"/>
  <c r="M381" s="1"/>
  <c r="G20" i="6" s="1"/>
  <c r="N419" i="5"/>
  <c r="H25" i="6" s="1"/>
  <c r="H17" s="1"/>
  <c r="O419" i="5"/>
  <c r="O374" s="1"/>
  <c r="O591"/>
  <c r="I44" i="6" s="1"/>
  <c r="O679" i="5"/>
  <c r="I68" i="6"/>
  <c r="M419" i="5"/>
  <c r="G25" i="6" s="1"/>
  <c r="M730" i="5"/>
  <c r="M729" s="1"/>
  <c r="G19" i="6"/>
  <c r="N688" i="5"/>
  <c r="I55" i="6"/>
  <c r="I52" s="1"/>
  <c r="G68"/>
  <c r="O730" i="5"/>
  <c r="O729" s="1"/>
  <c r="I19" i="6"/>
  <c r="M591" i="5"/>
  <c r="G44" i="6" s="1"/>
  <c r="M646" i="5"/>
  <c r="G50" i="6"/>
  <c r="G48" s="1"/>
  <c r="O646" i="5"/>
  <c r="I50" i="6"/>
  <c r="I48" s="1"/>
  <c r="N646" i="5"/>
  <c r="H50" i="6"/>
  <c r="H48" s="1"/>
  <c r="G36"/>
  <c r="N325" i="5"/>
  <c r="N302" s="1"/>
  <c r="H43" i="6"/>
  <c r="O325" i="5"/>
  <c r="O302" s="1"/>
  <c r="I43" i="6"/>
  <c r="I42" s="1"/>
  <c r="O18" i="5"/>
  <c r="I25" i="6"/>
  <c r="O128" i="5"/>
  <c r="I73" i="6"/>
  <c r="I72" s="1"/>
  <c r="N33" i="5"/>
  <c r="H55" i="6"/>
  <c r="M128" i="5"/>
  <c r="G73" i="6"/>
  <c r="G72" s="1"/>
  <c r="O270" i="5"/>
  <c r="I69" i="6"/>
  <c r="O344" i="5"/>
  <c r="O343" s="1"/>
  <c r="I22" i="6"/>
  <c r="M461" i="5"/>
  <c r="G33" i="6"/>
  <c r="G30" s="1"/>
  <c r="N18" i="5"/>
  <c r="M33"/>
  <c r="G55" i="6"/>
  <c r="G52" s="1"/>
  <c r="M270" i="5"/>
  <c r="G69" i="6"/>
  <c r="O461" i="5"/>
  <c r="I33" i="6"/>
  <c r="I30" s="1"/>
  <c r="O33" i="5"/>
  <c r="N461"/>
  <c r="H33" i="6"/>
  <c r="H30" s="1"/>
  <c r="N270" i="5"/>
  <c r="H69" i="6"/>
  <c r="M325" i="5"/>
  <c r="M302" s="1"/>
  <c r="O452"/>
  <c r="I28" i="6"/>
  <c r="I27" s="1"/>
  <c r="M58" i="5"/>
  <c r="M57" s="1"/>
  <c r="M18"/>
  <c r="N591"/>
  <c r="M495"/>
  <c r="O143"/>
  <c r="M143"/>
  <c r="N58"/>
  <c r="N57" s="1"/>
  <c r="O58"/>
  <c r="O57" s="1"/>
  <c r="F82" i="6"/>
  <c r="L82" s="1"/>
  <c r="E82"/>
  <c r="K82" s="1"/>
  <c r="N495" i="5" l="1"/>
  <c r="N143"/>
  <c r="N142" s="1"/>
  <c r="H52" i="6"/>
  <c r="M569" i="5"/>
  <c r="O495"/>
  <c r="N374"/>
  <c r="I66" i="6"/>
  <c r="M374" i="5"/>
  <c r="O569"/>
  <c r="G42" i="6"/>
  <c r="G66"/>
  <c r="N679" i="5"/>
  <c r="H68" i="6"/>
  <c r="H66" s="1"/>
  <c r="O142" i="5"/>
  <c r="N569"/>
  <c r="H44" i="6"/>
  <c r="H42" s="1"/>
  <c r="I17"/>
  <c r="M142" i="5"/>
  <c r="O56"/>
  <c r="O17" s="1"/>
  <c r="I60" i="6"/>
  <c r="I59" s="1"/>
  <c r="N56" i="5"/>
  <c r="N17" s="1"/>
  <c r="H60" i="6"/>
  <c r="H59" s="1"/>
  <c r="M56" i="5"/>
  <c r="M17" s="1"/>
  <c r="G60" i="6"/>
  <c r="G59" s="1"/>
  <c r="G17"/>
  <c r="L389" i="5"/>
  <c r="R389" s="1"/>
  <c r="J766"/>
  <c r="L763"/>
  <c r="L766" s="1"/>
  <c r="K763"/>
  <c r="K766" s="1"/>
  <c r="L642"/>
  <c r="R642" s="1"/>
  <c r="K642"/>
  <c r="Q642" s="1"/>
  <c r="J642"/>
  <c r="P642" s="1"/>
  <c r="L614"/>
  <c r="R614" s="1"/>
  <c r="K614"/>
  <c r="Q614" s="1"/>
  <c r="J614"/>
  <c r="P614" s="1"/>
  <c r="L469"/>
  <c r="R469" s="1"/>
  <c r="K469"/>
  <c r="Q469" s="1"/>
  <c r="J469"/>
  <c r="P469" s="1"/>
  <c r="L393"/>
  <c r="R393" s="1"/>
  <c r="K393"/>
  <c r="Q393" s="1"/>
  <c r="J393"/>
  <c r="P393" s="1"/>
  <c r="L391"/>
  <c r="R391" s="1"/>
  <c r="K391"/>
  <c r="Q391" s="1"/>
  <c r="J391"/>
  <c r="P391" s="1"/>
  <c r="K389"/>
  <c r="Q389" s="1"/>
  <c r="J389"/>
  <c r="P389" s="1"/>
  <c r="M373" l="1"/>
  <c r="M753" s="1"/>
  <c r="O373"/>
  <c r="N373"/>
  <c r="I83" i="6"/>
  <c r="H83"/>
  <c r="O753" i="5"/>
  <c r="N753"/>
  <c r="G83" i="6"/>
  <c r="K502" i="5"/>
  <c r="L502"/>
  <c r="J502"/>
  <c r="J501" l="1"/>
  <c r="P501" s="1"/>
  <c r="P502"/>
  <c r="L501"/>
  <c r="R501" s="1"/>
  <c r="R502"/>
  <c r="K501"/>
  <c r="Q501" s="1"/>
  <c r="Q502"/>
  <c r="K516"/>
  <c r="Q516" s="1"/>
  <c r="K691" l="1"/>
  <c r="L691"/>
  <c r="J691"/>
  <c r="P691" s="1"/>
  <c r="L690" l="1"/>
  <c r="R691"/>
  <c r="K690"/>
  <c r="Q691"/>
  <c r="J690"/>
  <c r="K689" l="1"/>
  <c r="Q689" s="1"/>
  <c r="Q690"/>
  <c r="J689"/>
  <c r="P689" s="1"/>
  <c r="P690"/>
  <c r="L689"/>
  <c r="R689" s="1"/>
  <c r="R690"/>
  <c r="K656"/>
  <c r="L656"/>
  <c r="J656"/>
  <c r="L655" l="1"/>
  <c r="R655" s="1"/>
  <c r="R656"/>
  <c r="K655"/>
  <c r="Q655" s="1"/>
  <c r="Q656"/>
  <c r="J655"/>
  <c r="P655" s="1"/>
  <c r="P656"/>
  <c r="K650"/>
  <c r="L650"/>
  <c r="J650"/>
  <c r="K653"/>
  <c r="L653"/>
  <c r="J653"/>
  <c r="K633"/>
  <c r="L633"/>
  <c r="J633"/>
  <c r="K626"/>
  <c r="L626"/>
  <c r="J626"/>
  <c r="K636"/>
  <c r="L636"/>
  <c r="J636"/>
  <c r="L641"/>
  <c r="R641" s="1"/>
  <c r="J641"/>
  <c r="P641" s="1"/>
  <c r="K643"/>
  <c r="Q643" s="1"/>
  <c r="L643"/>
  <c r="R643" s="1"/>
  <c r="K641"/>
  <c r="Q641" s="1"/>
  <c r="K639"/>
  <c r="Q639" s="1"/>
  <c r="L639"/>
  <c r="R639" s="1"/>
  <c r="J643"/>
  <c r="P643" s="1"/>
  <c r="J639"/>
  <c r="P639" s="1"/>
  <c r="K610"/>
  <c r="L610"/>
  <c r="J610"/>
  <c r="K613"/>
  <c r="L613"/>
  <c r="J613"/>
  <c r="K566"/>
  <c r="L566"/>
  <c r="J566"/>
  <c r="K536"/>
  <c r="Q536" s="1"/>
  <c r="L536"/>
  <c r="R536" s="1"/>
  <c r="K534"/>
  <c r="Q534" s="1"/>
  <c r="L534"/>
  <c r="R534" s="1"/>
  <c r="K532"/>
  <c r="Q532" s="1"/>
  <c r="L532"/>
  <c r="R532" s="1"/>
  <c r="J536"/>
  <c r="P536" s="1"/>
  <c r="J534"/>
  <c r="P534" s="1"/>
  <c r="J532"/>
  <c r="P532" s="1"/>
  <c r="L518"/>
  <c r="K518"/>
  <c r="J518"/>
  <c r="L516"/>
  <c r="K515"/>
  <c r="Q515" s="1"/>
  <c r="J516"/>
  <c r="K519"/>
  <c r="Q519" s="1"/>
  <c r="L519"/>
  <c r="R519" s="1"/>
  <c r="J519"/>
  <c r="P519" s="1"/>
  <c r="K506"/>
  <c r="L506"/>
  <c r="J506"/>
  <c r="K486"/>
  <c r="L486"/>
  <c r="J486"/>
  <c r="L515" l="1"/>
  <c r="R515" s="1"/>
  <c r="R516"/>
  <c r="J612"/>
  <c r="P612" s="1"/>
  <c r="P613"/>
  <c r="L635"/>
  <c r="R635" s="1"/>
  <c r="R636"/>
  <c r="J652"/>
  <c r="P652" s="1"/>
  <c r="P653"/>
  <c r="J485"/>
  <c r="P486"/>
  <c r="L505"/>
  <c r="R506"/>
  <c r="J517"/>
  <c r="P517" s="1"/>
  <c r="P518"/>
  <c r="L612"/>
  <c r="R612" s="1"/>
  <c r="R613"/>
  <c r="K609"/>
  <c r="Q609" s="1"/>
  <c r="Q610"/>
  <c r="J632"/>
  <c r="P632" s="1"/>
  <c r="P633"/>
  <c r="L652"/>
  <c r="R652" s="1"/>
  <c r="R653"/>
  <c r="K505"/>
  <c r="Q506"/>
  <c r="J515"/>
  <c r="P515" s="1"/>
  <c r="P516"/>
  <c r="K517"/>
  <c r="Q517" s="1"/>
  <c r="Q518"/>
  <c r="L565"/>
  <c r="R566"/>
  <c r="K612"/>
  <c r="Q612" s="1"/>
  <c r="Q613"/>
  <c r="J625"/>
  <c r="J621" s="1"/>
  <c r="P626"/>
  <c r="L632"/>
  <c r="R632" s="1"/>
  <c r="R633"/>
  <c r="K652"/>
  <c r="Q652" s="1"/>
  <c r="Q653"/>
  <c r="J505"/>
  <c r="P506"/>
  <c r="L609"/>
  <c r="R609" s="1"/>
  <c r="R610"/>
  <c r="K625"/>
  <c r="K621" s="1"/>
  <c r="Q626"/>
  <c r="L649"/>
  <c r="R649" s="1"/>
  <c r="R650"/>
  <c r="J565"/>
  <c r="P566"/>
  <c r="K635"/>
  <c r="Q635" s="1"/>
  <c r="Q636"/>
  <c r="K649"/>
  <c r="Q649" s="1"/>
  <c r="Q650"/>
  <c r="L485"/>
  <c r="R486"/>
  <c r="K485"/>
  <c r="Q486"/>
  <c r="L517"/>
  <c r="R517" s="1"/>
  <c r="R518"/>
  <c r="K565"/>
  <c r="Q566"/>
  <c r="J609"/>
  <c r="P609" s="1"/>
  <c r="P610"/>
  <c r="J635"/>
  <c r="P635" s="1"/>
  <c r="P636"/>
  <c r="L625"/>
  <c r="L621" s="1"/>
  <c r="R626"/>
  <c r="K632"/>
  <c r="Q632" s="1"/>
  <c r="Q633"/>
  <c r="J649"/>
  <c r="P649" s="1"/>
  <c r="P650"/>
  <c r="K648"/>
  <c r="Q648" s="1"/>
  <c r="J648"/>
  <c r="P648" s="1"/>
  <c r="L648"/>
  <c r="R648" s="1"/>
  <c r="K638"/>
  <c r="J638"/>
  <c r="L638"/>
  <c r="J531"/>
  <c r="P531" s="1"/>
  <c r="L531"/>
  <c r="R531" s="1"/>
  <c r="K531"/>
  <c r="Q531" s="1"/>
  <c r="L514"/>
  <c r="R514" s="1"/>
  <c r="J514" l="1"/>
  <c r="P514" s="1"/>
  <c r="J608"/>
  <c r="P608" s="1"/>
  <c r="K631"/>
  <c r="Q631" s="1"/>
  <c r="Q638"/>
  <c r="K564"/>
  <c r="Q564" s="1"/>
  <c r="Q565"/>
  <c r="Q621"/>
  <c r="Q625"/>
  <c r="L504"/>
  <c r="R504" s="1"/>
  <c r="R505"/>
  <c r="L608"/>
  <c r="R608" s="1"/>
  <c r="K608"/>
  <c r="Q608" s="1"/>
  <c r="L631"/>
  <c r="R631" s="1"/>
  <c r="R638"/>
  <c r="K484"/>
  <c r="Q484" s="1"/>
  <c r="Q485"/>
  <c r="J564"/>
  <c r="P564" s="1"/>
  <c r="P565"/>
  <c r="J504"/>
  <c r="P504" s="1"/>
  <c r="P505"/>
  <c r="K504"/>
  <c r="Q504" s="1"/>
  <c r="Q505"/>
  <c r="K514"/>
  <c r="Q514" s="1"/>
  <c r="J631"/>
  <c r="P631" s="1"/>
  <c r="P638"/>
  <c r="R621"/>
  <c r="R625"/>
  <c r="L484"/>
  <c r="R484" s="1"/>
  <c r="R485"/>
  <c r="P621"/>
  <c r="P625"/>
  <c r="L564"/>
  <c r="R564" s="1"/>
  <c r="R565"/>
  <c r="J484"/>
  <c r="P484" s="1"/>
  <c r="P485"/>
  <c r="K490"/>
  <c r="Q490" s="1"/>
  <c r="L490"/>
  <c r="R490" s="1"/>
  <c r="J490"/>
  <c r="P490" s="1"/>
  <c r="K474" l="1"/>
  <c r="L474"/>
  <c r="J474"/>
  <c r="K468"/>
  <c r="L468"/>
  <c r="J468"/>
  <c r="K465"/>
  <c r="L465"/>
  <c r="J465"/>
  <c r="L423"/>
  <c r="R423" s="1"/>
  <c r="K423"/>
  <c r="Q423" s="1"/>
  <c r="J423"/>
  <c r="P423" s="1"/>
  <c r="L464" l="1"/>
  <c r="R464" s="1"/>
  <c r="R465"/>
  <c r="K467"/>
  <c r="Q467" s="1"/>
  <c r="Q468"/>
  <c r="K464"/>
  <c r="Q464" s="1"/>
  <c r="Q465"/>
  <c r="J473"/>
  <c r="P473" s="1"/>
  <c r="P474"/>
  <c r="J467"/>
  <c r="P467" s="1"/>
  <c r="P468"/>
  <c r="L473"/>
  <c r="R473" s="1"/>
  <c r="R474"/>
  <c r="J464"/>
  <c r="P464" s="1"/>
  <c r="P465"/>
  <c r="L467"/>
  <c r="R467" s="1"/>
  <c r="R468"/>
  <c r="K473"/>
  <c r="Q473" s="1"/>
  <c r="Q474"/>
  <c r="K340"/>
  <c r="L340"/>
  <c r="J340"/>
  <c r="K334"/>
  <c r="L334"/>
  <c r="J334"/>
  <c r="K330"/>
  <c r="L330"/>
  <c r="J330"/>
  <c r="K312"/>
  <c r="L312"/>
  <c r="J312"/>
  <c r="K311" l="1"/>
  <c r="Q311" s="1"/>
  <c r="Q312"/>
  <c r="L339"/>
  <c r="R339" s="1"/>
  <c r="R340"/>
  <c r="L333"/>
  <c r="R333" s="1"/>
  <c r="R334"/>
  <c r="L329"/>
  <c r="R330"/>
  <c r="J333"/>
  <c r="P333" s="1"/>
  <c r="P334"/>
  <c r="J329"/>
  <c r="P330"/>
  <c r="K339"/>
  <c r="Q339" s="1"/>
  <c r="Q340"/>
  <c r="J311"/>
  <c r="P311" s="1"/>
  <c r="P312"/>
  <c r="K333"/>
  <c r="Q333" s="1"/>
  <c r="Q334"/>
  <c r="L311"/>
  <c r="R311" s="1"/>
  <c r="R312"/>
  <c r="K329"/>
  <c r="Q330"/>
  <c r="J339"/>
  <c r="P339" s="1"/>
  <c r="P340"/>
  <c r="L289"/>
  <c r="R289" s="1"/>
  <c r="K289"/>
  <c r="Q289" s="1"/>
  <c r="J289"/>
  <c r="P289" s="1"/>
  <c r="L286"/>
  <c r="R286" s="1"/>
  <c r="K286"/>
  <c r="Q286" s="1"/>
  <c r="J286"/>
  <c r="P286" s="1"/>
  <c r="L205"/>
  <c r="R205" s="1"/>
  <c r="K205"/>
  <c r="Q205" s="1"/>
  <c r="J205"/>
  <c r="P205" s="1"/>
  <c r="J198"/>
  <c r="P198" s="1"/>
  <c r="L165"/>
  <c r="R165" s="1"/>
  <c r="K165"/>
  <c r="Q165" s="1"/>
  <c r="J165"/>
  <c r="P165" s="1"/>
  <c r="L149"/>
  <c r="R149" s="1"/>
  <c r="K149"/>
  <c r="Q149" s="1"/>
  <c r="J149"/>
  <c r="P149" s="1"/>
  <c r="J328" l="1"/>
  <c r="P329"/>
  <c r="L328"/>
  <c r="R329"/>
  <c r="K328"/>
  <c r="Q329"/>
  <c r="K125"/>
  <c r="L125"/>
  <c r="J125"/>
  <c r="L124" l="1"/>
  <c r="R125"/>
  <c r="K124"/>
  <c r="Q125"/>
  <c r="L327"/>
  <c r="R327" s="1"/>
  <c r="R328"/>
  <c r="J124"/>
  <c r="P125"/>
  <c r="K327"/>
  <c r="Q327" s="1"/>
  <c r="Q328"/>
  <c r="J327"/>
  <c r="P327" s="1"/>
  <c r="P328"/>
  <c r="L106"/>
  <c r="R106" s="1"/>
  <c r="K106"/>
  <c r="Q106" s="1"/>
  <c r="J106"/>
  <c r="P106" s="1"/>
  <c r="L123" l="1"/>
  <c r="R124"/>
  <c r="J123"/>
  <c r="P124"/>
  <c r="K123"/>
  <c r="Q124"/>
  <c r="K102"/>
  <c r="Q102" s="1"/>
  <c r="J102"/>
  <c r="P102" s="1"/>
  <c r="L87"/>
  <c r="R87" s="1"/>
  <c r="K87"/>
  <c r="Q87" s="1"/>
  <c r="J87"/>
  <c r="P87" s="1"/>
  <c r="J62"/>
  <c r="P62" s="1"/>
  <c r="J122" l="1"/>
  <c r="P123"/>
  <c r="K122"/>
  <c r="Q123"/>
  <c r="L122"/>
  <c r="R123"/>
  <c r="L68"/>
  <c r="R68" s="1"/>
  <c r="K68"/>
  <c r="Q68" s="1"/>
  <c r="J68"/>
  <c r="P68" s="1"/>
  <c r="K121" l="1"/>
  <c r="Q121" s="1"/>
  <c r="Q122"/>
  <c r="L121"/>
  <c r="R121" s="1"/>
  <c r="R122"/>
  <c r="J121"/>
  <c r="P121" s="1"/>
  <c r="P122"/>
  <c r="L45"/>
  <c r="R45" s="1"/>
  <c r="K45"/>
  <c r="Q45" s="1"/>
  <c r="J45"/>
  <c r="P45" s="1"/>
  <c r="K30"/>
  <c r="L30"/>
  <c r="J30"/>
  <c r="L27"/>
  <c r="K27"/>
  <c r="J27"/>
  <c r="J29" l="1"/>
  <c r="P30"/>
  <c r="J26"/>
  <c r="P27"/>
  <c r="L29"/>
  <c r="R30"/>
  <c r="K26"/>
  <c r="Q27"/>
  <c r="K29"/>
  <c r="Q30"/>
  <c r="L26"/>
  <c r="R27"/>
  <c r="L409"/>
  <c r="K409"/>
  <c r="J409"/>
  <c r="P409" s="1"/>
  <c r="L404"/>
  <c r="R404" s="1"/>
  <c r="K404"/>
  <c r="Q404" s="1"/>
  <c r="J404"/>
  <c r="P404" s="1"/>
  <c r="L399"/>
  <c r="R399" s="1"/>
  <c r="K399"/>
  <c r="Q399" s="1"/>
  <c r="J399"/>
  <c r="P399" s="1"/>
  <c r="L298"/>
  <c r="R298" s="1"/>
  <c r="K298"/>
  <c r="Q298" s="1"/>
  <c r="J298"/>
  <c r="P298" s="1"/>
  <c r="J408" l="1"/>
  <c r="P408" s="1"/>
  <c r="L25"/>
  <c r="R26"/>
  <c r="K25"/>
  <c r="Q26"/>
  <c r="J25"/>
  <c r="P26"/>
  <c r="K408"/>
  <c r="Q408" s="1"/>
  <c r="Q409"/>
  <c r="L408"/>
  <c r="R408" s="1"/>
  <c r="R409"/>
  <c r="K28"/>
  <c r="Q28" s="1"/>
  <c r="Q29"/>
  <c r="L28"/>
  <c r="R28" s="1"/>
  <c r="R29"/>
  <c r="J28"/>
  <c r="P28" s="1"/>
  <c r="P29"/>
  <c r="K430"/>
  <c r="L430"/>
  <c r="J430"/>
  <c r="K480"/>
  <c r="L480"/>
  <c r="J480"/>
  <c r="K526"/>
  <c r="L526"/>
  <c r="J526"/>
  <c r="K539"/>
  <c r="L539"/>
  <c r="J539"/>
  <c r="K619"/>
  <c r="L619"/>
  <c r="J619"/>
  <c r="K597"/>
  <c r="L597"/>
  <c r="J597"/>
  <c r="K76"/>
  <c r="L76"/>
  <c r="J76"/>
  <c r="K596" l="1"/>
  <c r="Q596" s="1"/>
  <c r="Q597"/>
  <c r="L525"/>
  <c r="R525" s="1"/>
  <c r="R526"/>
  <c r="J618"/>
  <c r="P619"/>
  <c r="L538"/>
  <c r="R539"/>
  <c r="J429"/>
  <c r="P429" s="1"/>
  <c r="P430"/>
  <c r="K24"/>
  <c r="Q24" s="1"/>
  <c r="Q25"/>
  <c r="K538"/>
  <c r="Q539"/>
  <c r="J479"/>
  <c r="P479" s="1"/>
  <c r="P480"/>
  <c r="L429"/>
  <c r="R429" s="1"/>
  <c r="R430"/>
  <c r="L75"/>
  <c r="R75" s="1"/>
  <c r="R76"/>
  <c r="J538"/>
  <c r="P539"/>
  <c r="K479"/>
  <c r="Q479" s="1"/>
  <c r="Q480"/>
  <c r="K75"/>
  <c r="Q75" s="1"/>
  <c r="Q76"/>
  <c r="K525"/>
  <c r="Q525" s="1"/>
  <c r="Q526"/>
  <c r="J596"/>
  <c r="P596" s="1"/>
  <c r="P597"/>
  <c r="L618"/>
  <c r="R619"/>
  <c r="J75"/>
  <c r="P75" s="1"/>
  <c r="P76"/>
  <c r="L596"/>
  <c r="R596" s="1"/>
  <c r="R597"/>
  <c r="K618"/>
  <c r="Q619"/>
  <c r="J525"/>
  <c r="P525" s="1"/>
  <c r="P526"/>
  <c r="L479"/>
  <c r="R479" s="1"/>
  <c r="R480"/>
  <c r="K429"/>
  <c r="Q429" s="1"/>
  <c r="Q430"/>
  <c r="J24"/>
  <c r="P24" s="1"/>
  <c r="P25"/>
  <c r="L24"/>
  <c r="R24" s="1"/>
  <c r="R25"/>
  <c r="K449"/>
  <c r="L449"/>
  <c r="J449"/>
  <c r="L457"/>
  <c r="K457"/>
  <c r="J457"/>
  <c r="K458"/>
  <c r="Q458" s="1"/>
  <c r="L458"/>
  <c r="R458" s="1"/>
  <c r="J458"/>
  <c r="P458" s="1"/>
  <c r="L256"/>
  <c r="R256" s="1"/>
  <c r="K256"/>
  <c r="Q256" s="1"/>
  <c r="J256"/>
  <c r="P256" s="1"/>
  <c r="L254"/>
  <c r="R254" s="1"/>
  <c r="K254"/>
  <c r="Q254" s="1"/>
  <c r="J254"/>
  <c r="P254" s="1"/>
  <c r="L249"/>
  <c r="R249" s="1"/>
  <c r="K249"/>
  <c r="Q249" s="1"/>
  <c r="J249"/>
  <c r="P249" s="1"/>
  <c r="L247"/>
  <c r="R247" s="1"/>
  <c r="K247"/>
  <c r="Q247" s="1"/>
  <c r="J247"/>
  <c r="P247" s="1"/>
  <c r="L240"/>
  <c r="R240" s="1"/>
  <c r="K240"/>
  <c r="Q240" s="1"/>
  <c r="J240"/>
  <c r="P240" s="1"/>
  <c r="J471"/>
  <c r="K471"/>
  <c r="L471"/>
  <c r="K98"/>
  <c r="L98"/>
  <c r="J98"/>
  <c r="L97" l="1"/>
  <c r="R97" s="1"/>
  <c r="R98"/>
  <c r="K448"/>
  <c r="Q449"/>
  <c r="L456"/>
  <c r="R456" s="1"/>
  <c r="R457"/>
  <c r="L617"/>
  <c r="R618"/>
  <c r="L470"/>
  <c r="R470" s="1"/>
  <c r="R471"/>
  <c r="J448"/>
  <c r="P448" s="1"/>
  <c r="P449"/>
  <c r="J470"/>
  <c r="P470" s="1"/>
  <c r="P471"/>
  <c r="K456"/>
  <c r="Q456" s="1"/>
  <c r="Q457"/>
  <c r="K97"/>
  <c r="Q97" s="1"/>
  <c r="Q98"/>
  <c r="L530"/>
  <c r="R530" s="1"/>
  <c r="R538"/>
  <c r="J97"/>
  <c r="P97" s="1"/>
  <c r="P98"/>
  <c r="K470"/>
  <c r="Q470" s="1"/>
  <c r="Q471"/>
  <c r="J456"/>
  <c r="P456" s="1"/>
  <c r="P457"/>
  <c r="L448"/>
  <c r="R449"/>
  <c r="K617"/>
  <c r="Q618"/>
  <c r="J530"/>
  <c r="P530" s="1"/>
  <c r="P538"/>
  <c r="K530"/>
  <c r="Q530" s="1"/>
  <c r="Q538"/>
  <c r="J617"/>
  <c r="P618"/>
  <c r="K253"/>
  <c r="K246"/>
  <c r="Q246" s="1"/>
  <c r="J253"/>
  <c r="L253"/>
  <c r="J246"/>
  <c r="P246" s="1"/>
  <c r="L246"/>
  <c r="R246" s="1"/>
  <c r="J455"/>
  <c r="P455" s="1"/>
  <c r="L455" l="1"/>
  <c r="R448"/>
  <c r="Q448"/>
  <c r="P617"/>
  <c r="J616"/>
  <c r="L616"/>
  <c r="R617"/>
  <c r="K252"/>
  <c r="Q252" s="1"/>
  <c r="Q253"/>
  <c r="J252"/>
  <c r="P252" s="1"/>
  <c r="P253"/>
  <c r="K455"/>
  <c r="L252"/>
  <c r="R252" s="1"/>
  <c r="R253"/>
  <c r="L454"/>
  <c r="R455"/>
  <c r="K616"/>
  <c r="Q617"/>
  <c r="J454"/>
  <c r="L453" l="1"/>
  <c r="R454"/>
  <c r="R616"/>
  <c r="F45" i="6"/>
  <c r="L45" s="1"/>
  <c r="Q616" i="5"/>
  <c r="E45" i="6"/>
  <c r="K45" s="1"/>
  <c r="D45"/>
  <c r="J45" s="1"/>
  <c r="P616" i="5"/>
  <c r="J453"/>
  <c r="P454"/>
  <c r="K454"/>
  <c r="Q455"/>
  <c r="F28" i="6"/>
  <c r="L28" s="1"/>
  <c r="K453" i="5" l="1"/>
  <c r="Q454"/>
  <c r="D28" i="6"/>
  <c r="J28" s="1"/>
  <c r="P453" i="5"/>
  <c r="L452"/>
  <c r="R452" s="1"/>
  <c r="R453"/>
  <c r="J452"/>
  <c r="P452" s="1"/>
  <c r="K452" l="1"/>
  <c r="Q452" s="1"/>
  <c r="Q453"/>
  <c r="E28" i="6"/>
  <c r="K28" s="1"/>
  <c r="K435" i="5"/>
  <c r="L435"/>
  <c r="J435"/>
  <c r="K696"/>
  <c r="L696"/>
  <c r="K699"/>
  <c r="L699"/>
  <c r="J699"/>
  <c r="P699" s="1"/>
  <c r="J696"/>
  <c r="P696" s="1"/>
  <c r="L695" l="1"/>
  <c r="R695" s="1"/>
  <c r="R696"/>
  <c r="K434"/>
  <c r="Q435"/>
  <c r="K695"/>
  <c r="Q695" s="1"/>
  <c r="Q696"/>
  <c r="L698"/>
  <c r="R698" s="1"/>
  <c r="R699"/>
  <c r="J434"/>
  <c r="P435"/>
  <c r="K698"/>
  <c r="Q698" s="1"/>
  <c r="Q699"/>
  <c r="L434"/>
  <c r="R435"/>
  <c r="L694"/>
  <c r="J698"/>
  <c r="P698" s="1"/>
  <c r="J695"/>
  <c r="P695" s="1"/>
  <c r="K694" l="1"/>
  <c r="K693" s="1"/>
  <c r="Q693" s="1"/>
  <c r="L693"/>
  <c r="R693" s="1"/>
  <c r="R694"/>
  <c r="Q694"/>
  <c r="K433"/>
  <c r="Q434"/>
  <c r="L433"/>
  <c r="R434"/>
  <c r="J433"/>
  <c r="P434"/>
  <c r="J694"/>
  <c r="E77" i="6"/>
  <c r="K77" s="1"/>
  <c r="F77"/>
  <c r="L77" s="1"/>
  <c r="L364" i="5"/>
  <c r="K364"/>
  <c r="L358"/>
  <c r="K358"/>
  <c r="L352"/>
  <c r="R352" s="1"/>
  <c r="K352"/>
  <c r="Q352" s="1"/>
  <c r="L350"/>
  <c r="R350" s="1"/>
  <c r="K350"/>
  <c r="Q350" s="1"/>
  <c r="L726"/>
  <c r="K726"/>
  <c r="L718"/>
  <c r="K718"/>
  <c r="L709"/>
  <c r="K709"/>
  <c r="L706"/>
  <c r="K706"/>
  <c r="L703"/>
  <c r="K703"/>
  <c r="L685"/>
  <c r="R685" s="1"/>
  <c r="K685"/>
  <c r="Q685" s="1"/>
  <c r="L683"/>
  <c r="R683" s="1"/>
  <c r="K683"/>
  <c r="Q683" s="1"/>
  <c r="L676"/>
  <c r="K676"/>
  <c r="L672"/>
  <c r="K672"/>
  <c r="L606"/>
  <c r="K606"/>
  <c r="L602"/>
  <c r="K602"/>
  <c r="L594"/>
  <c r="K594"/>
  <c r="L584"/>
  <c r="R584" s="1"/>
  <c r="K584"/>
  <c r="Q584" s="1"/>
  <c r="L582"/>
  <c r="R582" s="1"/>
  <c r="K582"/>
  <c r="Q582" s="1"/>
  <c r="L579"/>
  <c r="R579" s="1"/>
  <c r="K579"/>
  <c r="Q579" s="1"/>
  <c r="L577"/>
  <c r="R577" s="1"/>
  <c r="K577"/>
  <c r="Q577" s="1"/>
  <c r="L574"/>
  <c r="K574"/>
  <c r="L562"/>
  <c r="K562"/>
  <c r="L559"/>
  <c r="K559"/>
  <c r="L556"/>
  <c r="K556"/>
  <c r="L548"/>
  <c r="L547" s="1"/>
  <c r="K548"/>
  <c r="K547" s="1"/>
  <c r="L544"/>
  <c r="K544"/>
  <c r="L512"/>
  <c r="K512"/>
  <c r="L499"/>
  <c r="K499"/>
  <c r="L492"/>
  <c r="R492" s="1"/>
  <c r="K492"/>
  <c r="Q492" s="1"/>
  <c r="L477"/>
  <c r="R477" s="1"/>
  <c r="K477"/>
  <c r="Q477" s="1"/>
  <c r="L443"/>
  <c r="R443" s="1"/>
  <c r="K443"/>
  <c r="Q443" s="1"/>
  <c r="L441"/>
  <c r="R441" s="1"/>
  <c r="K441"/>
  <c r="Q441" s="1"/>
  <c r="L439"/>
  <c r="R439" s="1"/>
  <c r="K439"/>
  <c r="Q439" s="1"/>
  <c r="L422"/>
  <c r="K422"/>
  <c r="L427"/>
  <c r="K427"/>
  <c r="L416"/>
  <c r="K416"/>
  <c r="L405"/>
  <c r="R405" s="1"/>
  <c r="K405"/>
  <c r="Q405" s="1"/>
  <c r="L403"/>
  <c r="R403" s="1"/>
  <c r="K403"/>
  <c r="Q403" s="1"/>
  <c r="L400"/>
  <c r="R400" s="1"/>
  <c r="K400"/>
  <c r="Q400" s="1"/>
  <c r="L398"/>
  <c r="R398" s="1"/>
  <c r="K398"/>
  <c r="Q398" s="1"/>
  <c r="L315"/>
  <c r="K315"/>
  <c r="L410"/>
  <c r="K410"/>
  <c r="L395"/>
  <c r="K395"/>
  <c r="L392"/>
  <c r="R392" s="1"/>
  <c r="K392"/>
  <c r="Q392" s="1"/>
  <c r="L390"/>
  <c r="R390" s="1"/>
  <c r="K390"/>
  <c r="Q390" s="1"/>
  <c r="L388"/>
  <c r="R388" s="1"/>
  <c r="K388"/>
  <c r="Q388" s="1"/>
  <c r="L384"/>
  <c r="K384"/>
  <c r="L378"/>
  <c r="K378"/>
  <c r="L739"/>
  <c r="R739" s="1"/>
  <c r="K739"/>
  <c r="Q739" s="1"/>
  <c r="L737"/>
  <c r="R737" s="1"/>
  <c r="K737"/>
  <c r="Q737" s="1"/>
  <c r="L734"/>
  <c r="K734"/>
  <c r="L749"/>
  <c r="R749" s="1"/>
  <c r="K749"/>
  <c r="Q749" s="1"/>
  <c r="L747"/>
  <c r="R747" s="1"/>
  <c r="K747"/>
  <c r="Q747" s="1"/>
  <c r="L337"/>
  <c r="K337"/>
  <c r="L322"/>
  <c r="K322"/>
  <c r="L309"/>
  <c r="R309" s="1"/>
  <c r="K309"/>
  <c r="Q309" s="1"/>
  <c r="L307"/>
  <c r="R307" s="1"/>
  <c r="K307"/>
  <c r="Q307" s="1"/>
  <c r="L299"/>
  <c r="R299" s="1"/>
  <c r="K299"/>
  <c r="Q299" s="1"/>
  <c r="L297"/>
  <c r="R297" s="1"/>
  <c r="K297"/>
  <c r="Q297" s="1"/>
  <c r="L294"/>
  <c r="K294"/>
  <c r="L288"/>
  <c r="K288"/>
  <c r="L285"/>
  <c r="K285"/>
  <c r="L278"/>
  <c r="K278"/>
  <c r="L267"/>
  <c r="R267" s="1"/>
  <c r="K267"/>
  <c r="Q267" s="1"/>
  <c r="L265"/>
  <c r="R265" s="1"/>
  <c r="K265"/>
  <c r="Q265" s="1"/>
  <c r="L261"/>
  <c r="K261"/>
  <c r="L239"/>
  <c r="R239" s="1"/>
  <c r="K239"/>
  <c r="Q239" s="1"/>
  <c r="L237"/>
  <c r="K237"/>
  <c r="L234"/>
  <c r="K234"/>
  <c r="L231"/>
  <c r="K231"/>
  <c r="L228"/>
  <c r="K228"/>
  <c r="L221"/>
  <c r="K221"/>
  <c r="L217"/>
  <c r="K217"/>
  <c r="L213"/>
  <c r="K213"/>
  <c r="L210"/>
  <c r="K210"/>
  <c r="L207"/>
  <c r="K207"/>
  <c r="L204"/>
  <c r="K204"/>
  <c r="L201"/>
  <c r="R201" s="1"/>
  <c r="K201"/>
  <c r="Q201" s="1"/>
  <c r="L197"/>
  <c r="R197" s="1"/>
  <c r="K197"/>
  <c r="Q197" s="1"/>
  <c r="L190"/>
  <c r="K190"/>
  <c r="L186"/>
  <c r="K186"/>
  <c r="L182"/>
  <c r="K182"/>
  <c r="L179"/>
  <c r="K179"/>
  <c r="L176"/>
  <c r="K176"/>
  <c r="L173"/>
  <c r="K173"/>
  <c r="L170"/>
  <c r="K170"/>
  <c r="L167"/>
  <c r="K167"/>
  <c r="L164"/>
  <c r="K164"/>
  <c r="L157"/>
  <c r="K157"/>
  <c r="L154"/>
  <c r="K154"/>
  <c r="L151"/>
  <c r="K151"/>
  <c r="L148"/>
  <c r="K148"/>
  <c r="L139"/>
  <c r="R139" s="1"/>
  <c r="K139"/>
  <c r="Q139" s="1"/>
  <c r="L137"/>
  <c r="R137" s="1"/>
  <c r="K137"/>
  <c r="Q137" s="1"/>
  <c r="L134"/>
  <c r="R134" s="1"/>
  <c r="K134"/>
  <c r="Q134" s="1"/>
  <c r="L132"/>
  <c r="R132" s="1"/>
  <c r="K132"/>
  <c r="Q132" s="1"/>
  <c r="L118"/>
  <c r="R118" s="1"/>
  <c r="K118"/>
  <c r="Q118" s="1"/>
  <c r="L116"/>
  <c r="R116" s="1"/>
  <c r="K116"/>
  <c r="Q116" s="1"/>
  <c r="L114"/>
  <c r="R114" s="1"/>
  <c r="K114"/>
  <c r="Q114" s="1"/>
  <c r="L108"/>
  <c r="K108"/>
  <c r="L105"/>
  <c r="K105"/>
  <c r="L101"/>
  <c r="K101"/>
  <c r="L95"/>
  <c r="K95"/>
  <c r="L92"/>
  <c r="K92"/>
  <c r="L83"/>
  <c r="K83"/>
  <c r="L86"/>
  <c r="K86"/>
  <c r="L89"/>
  <c r="K89"/>
  <c r="L73"/>
  <c r="K73"/>
  <c r="L61"/>
  <c r="K61"/>
  <c r="L70"/>
  <c r="K70"/>
  <c r="L67"/>
  <c r="K67"/>
  <c r="L64"/>
  <c r="K64"/>
  <c r="L53"/>
  <c r="K53"/>
  <c r="L47"/>
  <c r="K47"/>
  <c r="L44"/>
  <c r="K44"/>
  <c r="L41"/>
  <c r="K41"/>
  <c r="L38"/>
  <c r="K38"/>
  <c r="L22"/>
  <c r="K22"/>
  <c r="L21" l="1"/>
  <c r="R21" s="1"/>
  <c r="R22"/>
  <c r="L40"/>
  <c r="R40" s="1"/>
  <c r="R41"/>
  <c r="L63"/>
  <c r="R63" s="1"/>
  <c r="R64"/>
  <c r="L69"/>
  <c r="R69" s="1"/>
  <c r="R70"/>
  <c r="L85"/>
  <c r="R85" s="1"/>
  <c r="R86"/>
  <c r="L100"/>
  <c r="R100" s="1"/>
  <c r="R101"/>
  <c r="L107"/>
  <c r="R107" s="1"/>
  <c r="R108"/>
  <c r="L147"/>
  <c r="R147" s="1"/>
  <c r="R148"/>
  <c r="L163"/>
  <c r="R163" s="1"/>
  <c r="R164"/>
  <c r="L175"/>
  <c r="R175" s="1"/>
  <c r="R176"/>
  <c r="L189"/>
  <c r="R190"/>
  <c r="L206"/>
  <c r="R206" s="1"/>
  <c r="R207"/>
  <c r="L220"/>
  <c r="R221"/>
  <c r="L236"/>
  <c r="R236" s="1"/>
  <c r="R237"/>
  <c r="L293"/>
  <c r="R293" s="1"/>
  <c r="R294"/>
  <c r="L407"/>
  <c r="R407" s="1"/>
  <c r="R410"/>
  <c r="L415"/>
  <c r="R416"/>
  <c r="L498"/>
  <c r="R498" s="1"/>
  <c r="R499"/>
  <c r="L555"/>
  <c r="R555" s="1"/>
  <c r="R556"/>
  <c r="L593"/>
  <c r="R593" s="1"/>
  <c r="R594"/>
  <c r="L675"/>
  <c r="R676"/>
  <c r="L705"/>
  <c r="R705" s="1"/>
  <c r="R706"/>
  <c r="L717"/>
  <c r="R718"/>
  <c r="L357"/>
  <c r="R358"/>
  <c r="K43"/>
  <c r="Q43" s="1"/>
  <c r="Q44"/>
  <c r="K66"/>
  <c r="Q67"/>
  <c r="K88"/>
  <c r="Q88" s="1"/>
  <c r="Q89"/>
  <c r="K94"/>
  <c r="Q94" s="1"/>
  <c r="Q95"/>
  <c r="K104"/>
  <c r="Q104" s="1"/>
  <c r="Q105"/>
  <c r="K156"/>
  <c r="Q156" s="1"/>
  <c r="Q157"/>
  <c r="K172"/>
  <c r="Q172" s="1"/>
  <c r="Q173"/>
  <c r="K178"/>
  <c r="Q178" s="1"/>
  <c r="Q179"/>
  <c r="K185"/>
  <c r="Q186"/>
  <c r="K209"/>
  <c r="Q209" s="1"/>
  <c r="Q210"/>
  <c r="K227"/>
  <c r="Q227" s="1"/>
  <c r="Q228"/>
  <c r="K277"/>
  <c r="K273" s="1"/>
  <c r="Q278"/>
  <c r="K383"/>
  <c r="Q384"/>
  <c r="K394"/>
  <c r="Q394" s="1"/>
  <c r="Q395"/>
  <c r="K511"/>
  <c r="K510" s="1"/>
  <c r="Q512"/>
  <c r="K558"/>
  <c r="Q558" s="1"/>
  <c r="Q559"/>
  <c r="K601"/>
  <c r="Q602"/>
  <c r="Q709"/>
  <c r="K708"/>
  <c r="Q708" s="1"/>
  <c r="K725"/>
  <c r="Q726"/>
  <c r="K363"/>
  <c r="K362" s="1"/>
  <c r="Q364"/>
  <c r="L37"/>
  <c r="R37" s="1"/>
  <c r="R38"/>
  <c r="L43"/>
  <c r="R43" s="1"/>
  <c r="R44"/>
  <c r="L52"/>
  <c r="R53"/>
  <c r="L66"/>
  <c r="R67"/>
  <c r="L60"/>
  <c r="R60" s="1"/>
  <c r="R61"/>
  <c r="L88"/>
  <c r="R88" s="1"/>
  <c r="R89"/>
  <c r="L82"/>
  <c r="R82" s="1"/>
  <c r="R83"/>
  <c r="L94"/>
  <c r="R94" s="1"/>
  <c r="R95"/>
  <c r="L104"/>
  <c r="R104" s="1"/>
  <c r="R105"/>
  <c r="L150"/>
  <c r="R150" s="1"/>
  <c r="R151"/>
  <c r="L156"/>
  <c r="R156" s="1"/>
  <c r="R157"/>
  <c r="L166"/>
  <c r="R166" s="1"/>
  <c r="R167"/>
  <c r="L172"/>
  <c r="R172" s="1"/>
  <c r="R173"/>
  <c r="L178"/>
  <c r="R178" s="1"/>
  <c r="R179"/>
  <c r="L185"/>
  <c r="R186"/>
  <c r="L203"/>
  <c r="R203" s="1"/>
  <c r="R204"/>
  <c r="L209"/>
  <c r="R209" s="1"/>
  <c r="R210"/>
  <c r="L216"/>
  <c r="R217"/>
  <c r="L227"/>
  <c r="R227" s="1"/>
  <c r="R228"/>
  <c r="L233"/>
  <c r="R233" s="1"/>
  <c r="R234"/>
  <c r="L277"/>
  <c r="L273" s="1"/>
  <c r="R278"/>
  <c r="L287"/>
  <c r="R288"/>
  <c r="L321"/>
  <c r="R322"/>
  <c r="L733"/>
  <c r="R733" s="1"/>
  <c r="R734"/>
  <c r="L383"/>
  <c r="R384"/>
  <c r="L394"/>
  <c r="R394" s="1"/>
  <c r="R395"/>
  <c r="L314"/>
  <c r="R314" s="1"/>
  <c r="R315"/>
  <c r="L426"/>
  <c r="R426" s="1"/>
  <c r="R427"/>
  <c r="L511"/>
  <c r="L510" s="1"/>
  <c r="R512"/>
  <c r="R548"/>
  <c r="L558"/>
  <c r="R558" s="1"/>
  <c r="R559"/>
  <c r="L573"/>
  <c r="R573" s="1"/>
  <c r="R574"/>
  <c r="L601"/>
  <c r="R602"/>
  <c r="L671"/>
  <c r="R672"/>
  <c r="L702"/>
  <c r="R703"/>
  <c r="R709"/>
  <c r="L708"/>
  <c r="R708" s="1"/>
  <c r="L725"/>
  <c r="R726"/>
  <c r="L363"/>
  <c r="L362" s="1"/>
  <c r="R364"/>
  <c r="L46"/>
  <c r="R46" s="1"/>
  <c r="R47"/>
  <c r="L72"/>
  <c r="R72" s="1"/>
  <c r="R73"/>
  <c r="L91"/>
  <c r="R91" s="1"/>
  <c r="R92"/>
  <c r="L153"/>
  <c r="R153" s="1"/>
  <c r="R154"/>
  <c r="L169"/>
  <c r="R169" s="1"/>
  <c r="R170"/>
  <c r="L181"/>
  <c r="R181" s="1"/>
  <c r="R182"/>
  <c r="L212"/>
  <c r="R212" s="1"/>
  <c r="R213"/>
  <c r="L230"/>
  <c r="R230" s="1"/>
  <c r="R231"/>
  <c r="L260"/>
  <c r="R261"/>
  <c r="L284"/>
  <c r="R284" s="1"/>
  <c r="R285"/>
  <c r="L336"/>
  <c r="R337"/>
  <c r="L377"/>
  <c r="R378"/>
  <c r="L421"/>
  <c r="R422"/>
  <c r="L543"/>
  <c r="R544"/>
  <c r="L561"/>
  <c r="R561" s="1"/>
  <c r="R562"/>
  <c r="L605"/>
  <c r="R606"/>
  <c r="K37"/>
  <c r="Q37" s="1"/>
  <c r="Q38"/>
  <c r="K52"/>
  <c r="Q53"/>
  <c r="K60"/>
  <c r="Q60" s="1"/>
  <c r="Q61"/>
  <c r="K82"/>
  <c r="Q82" s="1"/>
  <c r="Q83"/>
  <c r="K150"/>
  <c r="Q150" s="1"/>
  <c r="Q151"/>
  <c r="K166"/>
  <c r="Q166" s="1"/>
  <c r="Q167"/>
  <c r="K203"/>
  <c r="Q203" s="1"/>
  <c r="Q204"/>
  <c r="K216"/>
  <c r="Q217"/>
  <c r="K233"/>
  <c r="Q233" s="1"/>
  <c r="Q234"/>
  <c r="K287"/>
  <c r="Q288"/>
  <c r="K321"/>
  <c r="Q322"/>
  <c r="K733"/>
  <c r="Q733" s="1"/>
  <c r="Q734"/>
  <c r="K314"/>
  <c r="Q314" s="1"/>
  <c r="Q315"/>
  <c r="K426"/>
  <c r="Q426" s="1"/>
  <c r="Q427"/>
  <c r="Q548"/>
  <c r="K573"/>
  <c r="Q573" s="1"/>
  <c r="Q574"/>
  <c r="K671"/>
  <c r="Q672"/>
  <c r="K702"/>
  <c r="Q703"/>
  <c r="J693"/>
  <c r="P693" s="1"/>
  <c r="P694"/>
  <c r="L432"/>
  <c r="R432" s="1"/>
  <c r="R433"/>
  <c r="K21"/>
  <c r="Q21" s="1"/>
  <c r="Q22"/>
  <c r="K40"/>
  <c r="Q40" s="1"/>
  <c r="Q41"/>
  <c r="K46"/>
  <c r="Q46" s="1"/>
  <c r="Q47"/>
  <c r="K63"/>
  <c r="Q63" s="1"/>
  <c r="Q64"/>
  <c r="K69"/>
  <c r="Q69" s="1"/>
  <c r="Q70"/>
  <c r="K72"/>
  <c r="Q72" s="1"/>
  <c r="Q73"/>
  <c r="K85"/>
  <c r="Q85" s="1"/>
  <c r="Q86"/>
  <c r="K91"/>
  <c r="Q91" s="1"/>
  <c r="Q92"/>
  <c r="K100"/>
  <c r="Q100" s="1"/>
  <c r="Q101"/>
  <c r="K107"/>
  <c r="Q107" s="1"/>
  <c r="Q108"/>
  <c r="K147"/>
  <c r="Q147" s="1"/>
  <c r="Q148"/>
  <c r="K153"/>
  <c r="Q153" s="1"/>
  <c r="Q154"/>
  <c r="K163"/>
  <c r="Q163" s="1"/>
  <c r="Q164"/>
  <c r="K169"/>
  <c r="Q169" s="1"/>
  <c r="Q170"/>
  <c r="K175"/>
  <c r="Q175" s="1"/>
  <c r="Q176"/>
  <c r="K181"/>
  <c r="Q181" s="1"/>
  <c r="Q182"/>
  <c r="K189"/>
  <c r="Q190"/>
  <c r="K206"/>
  <c r="Q206" s="1"/>
  <c r="Q207"/>
  <c r="K212"/>
  <c r="Q212" s="1"/>
  <c r="Q213"/>
  <c r="K220"/>
  <c r="Q221"/>
  <c r="K230"/>
  <c r="Q230" s="1"/>
  <c r="Q231"/>
  <c r="K236"/>
  <c r="Q236" s="1"/>
  <c r="Q237"/>
  <c r="K260"/>
  <c r="Q261"/>
  <c r="K284"/>
  <c r="Q284" s="1"/>
  <c r="Q285"/>
  <c r="K293"/>
  <c r="Q293" s="1"/>
  <c r="Q294"/>
  <c r="K336"/>
  <c r="Q337"/>
  <c r="K377"/>
  <c r="Q378"/>
  <c r="K407"/>
  <c r="Q407" s="1"/>
  <c r="Q410"/>
  <c r="K415"/>
  <c r="Q416"/>
  <c r="K421"/>
  <c r="Q422"/>
  <c r="K498"/>
  <c r="Q498" s="1"/>
  <c r="Q499"/>
  <c r="K543"/>
  <c r="Q544"/>
  <c r="K555"/>
  <c r="Q555" s="1"/>
  <c r="Q556"/>
  <c r="K561"/>
  <c r="Q561" s="1"/>
  <c r="Q562"/>
  <c r="K593"/>
  <c r="Q593" s="1"/>
  <c r="Q594"/>
  <c r="K605"/>
  <c r="Q606"/>
  <c r="K675"/>
  <c r="Q676"/>
  <c r="K705"/>
  <c r="Q705" s="1"/>
  <c r="Q706"/>
  <c r="K717"/>
  <c r="Q718"/>
  <c r="K357"/>
  <c r="Q358"/>
  <c r="J432"/>
  <c r="P432" s="1"/>
  <c r="P433"/>
  <c r="K432"/>
  <c r="Q432" s="1"/>
  <c r="Q433"/>
  <c r="L647"/>
  <c r="K647"/>
  <c r="L489"/>
  <c r="K489"/>
  <c r="L196"/>
  <c r="L476"/>
  <c r="K476"/>
  <c r="L576"/>
  <c r="R576" s="1"/>
  <c r="L264"/>
  <c r="L296"/>
  <c r="L746"/>
  <c r="L402"/>
  <c r="R402" s="1"/>
  <c r="L438"/>
  <c r="L437" s="1"/>
  <c r="K576"/>
  <c r="Q576" s="1"/>
  <c r="K682"/>
  <c r="L113"/>
  <c r="K264"/>
  <c r="K296"/>
  <c r="K746"/>
  <c r="K438"/>
  <c r="K437" s="1"/>
  <c r="L349"/>
  <c r="R349" s="1"/>
  <c r="L136"/>
  <c r="R136" s="1"/>
  <c r="K113"/>
  <c r="K131"/>
  <c r="Q131" s="1"/>
  <c r="K196"/>
  <c r="K402"/>
  <c r="Q402" s="1"/>
  <c r="K136"/>
  <c r="Q136" s="1"/>
  <c r="L581"/>
  <c r="R581" s="1"/>
  <c r="E27" i="6"/>
  <c r="K27" s="1"/>
  <c r="F27"/>
  <c r="L27" s="1"/>
  <c r="L131" i="5"/>
  <c r="R131" s="1"/>
  <c r="K245"/>
  <c r="K306"/>
  <c r="K736"/>
  <c r="K387"/>
  <c r="Q387" s="1"/>
  <c r="K397"/>
  <c r="Q397" s="1"/>
  <c r="L682"/>
  <c r="L245"/>
  <c r="L306"/>
  <c r="L736"/>
  <c r="L387"/>
  <c r="R387" s="1"/>
  <c r="L397"/>
  <c r="R397" s="1"/>
  <c r="K581"/>
  <c r="Q581" s="1"/>
  <c r="K349"/>
  <c r="Q349" s="1"/>
  <c r="Q702" l="1"/>
  <c r="K701"/>
  <c r="R702"/>
  <c r="L701"/>
  <c r="L554"/>
  <c r="R554" s="1"/>
  <c r="K592"/>
  <c r="L226"/>
  <c r="L225" s="1"/>
  <c r="L592"/>
  <c r="R592" s="1"/>
  <c r="L146"/>
  <c r="R146" s="1"/>
  <c r="K226"/>
  <c r="K225" s="1"/>
  <c r="L497"/>
  <c r="R497" s="1"/>
  <c r="Q287"/>
  <c r="K280"/>
  <c r="R287"/>
  <c r="L280"/>
  <c r="R280" s="1"/>
  <c r="L425"/>
  <c r="L424" s="1"/>
  <c r="R424" s="1"/>
  <c r="R66"/>
  <c r="L59"/>
  <c r="R59" s="1"/>
  <c r="Q66"/>
  <c r="K59"/>
  <c r="Q59" s="1"/>
  <c r="K162"/>
  <c r="Q162" s="1"/>
  <c r="R245"/>
  <c r="K195"/>
  <c r="Q196"/>
  <c r="R437"/>
  <c r="R438"/>
  <c r="L195"/>
  <c r="R196"/>
  <c r="K646"/>
  <c r="Q646" s="1"/>
  <c r="Q647"/>
  <c r="K674"/>
  <c r="Q674" s="1"/>
  <c r="Q675"/>
  <c r="K414"/>
  <c r="Q415"/>
  <c r="K670"/>
  <c r="Q671"/>
  <c r="K546"/>
  <c r="Q547"/>
  <c r="K320"/>
  <c r="Q321"/>
  <c r="L332"/>
  <c r="R336"/>
  <c r="L724"/>
  <c r="R725"/>
  <c r="L600"/>
  <c r="R601"/>
  <c r="L320"/>
  <c r="R321"/>
  <c r="R273"/>
  <c r="R277"/>
  <c r="L184"/>
  <c r="R184" s="1"/>
  <c r="R185"/>
  <c r="Q510"/>
  <c r="Q511"/>
  <c r="L674"/>
  <c r="R674" s="1"/>
  <c r="R675"/>
  <c r="K732"/>
  <c r="Q736"/>
  <c r="K36"/>
  <c r="L646"/>
  <c r="R646" s="1"/>
  <c r="R647"/>
  <c r="L732"/>
  <c r="R736"/>
  <c r="K112"/>
  <c r="Q113"/>
  <c r="K681"/>
  <c r="Q682"/>
  <c r="L292"/>
  <c r="R296"/>
  <c r="L81"/>
  <c r="R81" s="1"/>
  <c r="L496"/>
  <c r="K356"/>
  <c r="Q357"/>
  <c r="K604"/>
  <c r="Q604" s="1"/>
  <c r="Q605"/>
  <c r="K420"/>
  <c r="Q420" s="1"/>
  <c r="Q421"/>
  <c r="K219"/>
  <c r="Q219" s="1"/>
  <c r="Q220"/>
  <c r="K215"/>
  <c r="Q215" s="1"/>
  <c r="Q216"/>
  <c r="K51"/>
  <c r="Q52"/>
  <c r="L604"/>
  <c r="R604" s="1"/>
  <c r="R605"/>
  <c r="L542"/>
  <c r="R543"/>
  <c r="L376"/>
  <c r="R377"/>
  <c r="R363"/>
  <c r="L670"/>
  <c r="R671"/>
  <c r="L546"/>
  <c r="R547"/>
  <c r="L215"/>
  <c r="R215" s="1"/>
  <c r="R216"/>
  <c r="Q363"/>
  <c r="Q273"/>
  <c r="Q277"/>
  <c r="L356"/>
  <c r="R357"/>
  <c r="K263"/>
  <c r="Q263" s="1"/>
  <c r="Q264"/>
  <c r="R226"/>
  <c r="K463"/>
  <c r="Q463" s="1"/>
  <c r="Q476"/>
  <c r="Q592"/>
  <c r="K716"/>
  <c r="Q717"/>
  <c r="K376"/>
  <c r="Q377"/>
  <c r="K259"/>
  <c r="Q259" s="1"/>
  <c r="Q260"/>
  <c r="K188"/>
  <c r="Q188" s="1"/>
  <c r="Q189"/>
  <c r="L420"/>
  <c r="R420" s="1"/>
  <c r="R421"/>
  <c r="L259"/>
  <c r="R259" s="1"/>
  <c r="R260"/>
  <c r="R510"/>
  <c r="R511"/>
  <c r="L382"/>
  <c r="R382" s="1"/>
  <c r="R383"/>
  <c r="L51"/>
  <c r="R52"/>
  <c r="K724"/>
  <c r="Q725"/>
  <c r="K600"/>
  <c r="Q601"/>
  <c r="K382"/>
  <c r="Q382" s="1"/>
  <c r="Q383"/>
  <c r="K184"/>
  <c r="Q184" s="1"/>
  <c r="Q185"/>
  <c r="L716"/>
  <c r="R717"/>
  <c r="L414"/>
  <c r="R415"/>
  <c r="L219"/>
  <c r="R219" s="1"/>
  <c r="R220"/>
  <c r="L188"/>
  <c r="R188" s="1"/>
  <c r="R189"/>
  <c r="L162"/>
  <c r="Q437"/>
  <c r="Q438"/>
  <c r="L112"/>
  <c r="R113"/>
  <c r="K688"/>
  <c r="Q688" s="1"/>
  <c r="Q701"/>
  <c r="L745"/>
  <c r="R745" s="1"/>
  <c r="R746"/>
  <c r="K81"/>
  <c r="Q81" s="1"/>
  <c r="K20"/>
  <c r="Q20" s="1"/>
  <c r="K488"/>
  <c r="Q488" s="1"/>
  <c r="Q489"/>
  <c r="L681"/>
  <c r="R682"/>
  <c r="K305"/>
  <c r="Q305" s="1"/>
  <c r="Q306"/>
  <c r="K103"/>
  <c r="Q103" s="1"/>
  <c r="K745"/>
  <c r="Q745" s="1"/>
  <c r="Q746"/>
  <c r="L36"/>
  <c r="L463"/>
  <c r="R463" s="1"/>
  <c r="R476"/>
  <c r="L20"/>
  <c r="R20" s="1"/>
  <c r="L488"/>
  <c r="R488" s="1"/>
  <c r="R489"/>
  <c r="K542"/>
  <c r="Q543"/>
  <c r="K332"/>
  <c r="Q336"/>
  <c r="L305"/>
  <c r="R305" s="1"/>
  <c r="R306"/>
  <c r="Q245"/>
  <c r="L103"/>
  <c r="R103" s="1"/>
  <c r="K292"/>
  <c r="Q296"/>
  <c r="L263"/>
  <c r="R263" s="1"/>
  <c r="R264"/>
  <c r="K425"/>
  <c r="K146"/>
  <c r="K554"/>
  <c r="K497"/>
  <c r="E50" i="6"/>
  <c r="L572" i="5"/>
  <c r="K509"/>
  <c r="L509"/>
  <c r="L386"/>
  <c r="K386"/>
  <c r="L130"/>
  <c r="L744"/>
  <c r="L348"/>
  <c r="R348" s="1"/>
  <c r="K348"/>
  <c r="Q348" s="1"/>
  <c r="K130"/>
  <c r="K572"/>
  <c r="K744"/>
  <c r="F50" i="6"/>
  <c r="L553" i="5" l="1"/>
  <c r="Q226"/>
  <c r="L145"/>
  <c r="L144" s="1"/>
  <c r="L462"/>
  <c r="R462" s="1"/>
  <c r="R425"/>
  <c r="K244"/>
  <c r="Q244" s="1"/>
  <c r="K19"/>
  <c r="K18" s="1"/>
  <c r="Q18" s="1"/>
  <c r="L483"/>
  <c r="F34" i="6" s="1"/>
  <c r="L34" s="1"/>
  <c r="L19" i="5"/>
  <c r="R19" s="1"/>
  <c r="K483"/>
  <c r="E34" i="6" s="1"/>
  <c r="K34" s="1"/>
  <c r="K58" i="5"/>
  <c r="Q58" s="1"/>
  <c r="K304"/>
  <c r="K303" s="1"/>
  <c r="K462"/>
  <c r="Q462" s="1"/>
  <c r="K243"/>
  <c r="E57" i="6" s="1"/>
  <c r="K57" s="1"/>
  <c r="F48"/>
  <c r="L48" s="1"/>
  <c r="L50"/>
  <c r="E48"/>
  <c r="K48" s="1"/>
  <c r="K50"/>
  <c r="K571" i="5"/>
  <c r="K570" s="1"/>
  <c r="Q572"/>
  <c r="L35"/>
  <c r="R36"/>
  <c r="E38" i="6"/>
  <c r="K38" s="1"/>
  <c r="Q509" i="5"/>
  <c r="R553"/>
  <c r="L669"/>
  <c r="R670"/>
  <c r="K731"/>
  <c r="Q732"/>
  <c r="L599"/>
  <c r="R599" s="1"/>
  <c r="R600"/>
  <c r="R332"/>
  <c r="L326"/>
  <c r="Q546"/>
  <c r="K413"/>
  <c r="Q414"/>
  <c r="K161"/>
  <c r="K424"/>
  <c r="Q425"/>
  <c r="K272"/>
  <c r="Q280"/>
  <c r="K541"/>
  <c r="Q541" s="1"/>
  <c r="Q542"/>
  <c r="L688"/>
  <c r="R701"/>
  <c r="K680"/>
  <c r="Q681"/>
  <c r="K129"/>
  <c r="E73" i="6" s="1"/>
  <c r="Q130" i="5"/>
  <c r="L304"/>
  <c r="L571"/>
  <c r="L570" s="1"/>
  <c r="R572"/>
  <c r="K496"/>
  <c r="Q497"/>
  <c r="L161"/>
  <c r="R162"/>
  <c r="L715"/>
  <c r="R715" s="1"/>
  <c r="R716"/>
  <c r="K375"/>
  <c r="Q376"/>
  <c r="L224"/>
  <c r="R225"/>
  <c r="K224"/>
  <c r="Q225"/>
  <c r="L743"/>
  <c r="R744"/>
  <c r="K381"/>
  <c r="Q386"/>
  <c r="L419"/>
  <c r="R419" s="1"/>
  <c r="K553"/>
  <c r="Q554"/>
  <c r="K291"/>
  <c r="Q292"/>
  <c r="Q332"/>
  <c r="K326"/>
  <c r="L291"/>
  <c r="R292"/>
  <c r="K111"/>
  <c r="Q112"/>
  <c r="L129"/>
  <c r="F73" i="6" s="1"/>
  <c r="R130" i="5"/>
  <c r="Q19"/>
  <c r="L731"/>
  <c r="R732"/>
  <c r="K723"/>
  <c r="Q724"/>
  <c r="L375"/>
  <c r="R376"/>
  <c r="K355"/>
  <c r="Q356"/>
  <c r="K743"/>
  <c r="Q744"/>
  <c r="L381"/>
  <c r="R386"/>
  <c r="F38" i="6"/>
  <c r="L38" s="1"/>
  <c r="R509" i="5"/>
  <c r="L58"/>
  <c r="K145"/>
  <c r="Q146"/>
  <c r="L680"/>
  <c r="L679" s="1"/>
  <c r="R679" s="1"/>
  <c r="R681"/>
  <c r="L111"/>
  <c r="R112"/>
  <c r="L272"/>
  <c r="L413"/>
  <c r="R414"/>
  <c r="K599"/>
  <c r="Q600"/>
  <c r="L50"/>
  <c r="R50" s="1"/>
  <c r="R51"/>
  <c r="K715"/>
  <c r="Q715" s="1"/>
  <c r="Q716"/>
  <c r="R145"/>
  <c r="L355"/>
  <c r="R356"/>
  <c r="Q362"/>
  <c r="K361"/>
  <c r="Q361" s="1"/>
  <c r="R546"/>
  <c r="R362"/>
  <c r="L361"/>
  <c r="R361" s="1"/>
  <c r="L541"/>
  <c r="R541" s="1"/>
  <c r="R542"/>
  <c r="K50"/>
  <c r="Q50" s="1"/>
  <c r="Q51"/>
  <c r="F37" i="6"/>
  <c r="L37" s="1"/>
  <c r="R496" i="5"/>
  <c r="K35"/>
  <c r="Q36"/>
  <c r="L319"/>
  <c r="F40" i="6" s="1"/>
  <c r="L40" s="1"/>
  <c r="R320" i="5"/>
  <c r="L723"/>
  <c r="R724"/>
  <c r="K319"/>
  <c r="Q320"/>
  <c r="K669"/>
  <c r="Q670"/>
  <c r="L194"/>
  <c r="R195"/>
  <c r="K194"/>
  <c r="Q195"/>
  <c r="L244"/>
  <c r="F33" i="6"/>
  <c r="L33" s="1"/>
  <c r="K347" i="5"/>
  <c r="L347"/>
  <c r="E68" i="6"/>
  <c r="K68" s="1"/>
  <c r="K57" i="5" l="1"/>
  <c r="Q57" s="1"/>
  <c r="L591"/>
  <c r="R591" s="1"/>
  <c r="R483"/>
  <c r="L461"/>
  <c r="R461" s="1"/>
  <c r="L374"/>
  <c r="E33" i="6"/>
  <c r="K33" s="1"/>
  <c r="Q304" i="5"/>
  <c r="L18"/>
  <c r="R18" s="1"/>
  <c r="Q243"/>
  <c r="Q483"/>
  <c r="K461"/>
  <c r="Q461" s="1"/>
  <c r="E72" i="6"/>
  <c r="K72" s="1"/>
  <c r="K73"/>
  <c r="F72"/>
  <c r="L72" s="1"/>
  <c r="L73"/>
  <c r="F30"/>
  <c r="L30" s="1"/>
  <c r="F61"/>
  <c r="L61" s="1"/>
  <c r="R111" i="5"/>
  <c r="F44" i="6"/>
  <c r="L44" s="1"/>
  <c r="L303" i="5"/>
  <c r="R304"/>
  <c r="E67" i="6"/>
  <c r="K67" s="1"/>
  <c r="Q680" i="5"/>
  <c r="K679"/>
  <c r="Q679" s="1"/>
  <c r="Q424"/>
  <c r="K419"/>
  <c r="L325"/>
  <c r="R325" s="1"/>
  <c r="R326"/>
  <c r="K193"/>
  <c r="Q193" s="1"/>
  <c r="Q194"/>
  <c r="Q669"/>
  <c r="K668"/>
  <c r="L722"/>
  <c r="R723"/>
  <c r="K34"/>
  <c r="Q35"/>
  <c r="F53" i="6"/>
  <c r="L53" s="1"/>
  <c r="R144" i="5"/>
  <c r="F21" i="6"/>
  <c r="L21" s="1"/>
  <c r="R413" i="5"/>
  <c r="K742"/>
  <c r="Q742" s="1"/>
  <c r="Q743"/>
  <c r="F18" i="6"/>
  <c r="L18" s="1"/>
  <c r="R375" i="5"/>
  <c r="E61" i="6"/>
  <c r="K61" s="1"/>
  <c r="Q111" i="5"/>
  <c r="E20" i="6"/>
  <c r="K20" s="1"/>
  <c r="Q381" i="5"/>
  <c r="F56" i="6"/>
  <c r="L56" s="1"/>
  <c r="R224" i="5"/>
  <c r="E37" i="6"/>
  <c r="K37" s="1"/>
  <c r="Q496" i="5"/>
  <c r="E21" i="6"/>
  <c r="K21" s="1"/>
  <c r="Q413" i="5"/>
  <c r="Q731"/>
  <c r="K730"/>
  <c r="E19" i="6"/>
  <c r="K19" s="1"/>
  <c r="R35" i="5"/>
  <c r="L34"/>
  <c r="L346"/>
  <c r="R347"/>
  <c r="K144"/>
  <c r="Q145"/>
  <c r="K325"/>
  <c r="Q325" s="1"/>
  <c r="Q326"/>
  <c r="F25" i="6"/>
  <c r="L25" s="1"/>
  <c r="K346" i="5"/>
  <c r="Q346" s="1"/>
  <c r="Q347"/>
  <c r="L529"/>
  <c r="L271"/>
  <c r="R272"/>
  <c r="R680"/>
  <c r="F67" i="6"/>
  <c r="L67" s="1"/>
  <c r="E40"/>
  <c r="K40" s="1"/>
  <c r="Q553" i="5"/>
  <c r="K128"/>
  <c r="Q128" s="1"/>
  <c r="Q129"/>
  <c r="R688"/>
  <c r="F68" i="6"/>
  <c r="L68" s="1"/>
  <c r="K271" i="5"/>
  <c r="Q272"/>
  <c r="Q303"/>
  <c r="K529"/>
  <c r="R244"/>
  <c r="L243"/>
  <c r="L193"/>
  <c r="R193" s="1"/>
  <c r="R194"/>
  <c r="K318"/>
  <c r="Q318" s="1"/>
  <c r="Q319"/>
  <c r="L318"/>
  <c r="R318" s="1"/>
  <c r="R319"/>
  <c r="F24" i="6"/>
  <c r="L24" s="1"/>
  <c r="R355" i="5"/>
  <c r="Q599"/>
  <c r="K591"/>
  <c r="L57"/>
  <c r="R58"/>
  <c r="F20" i="6"/>
  <c r="L20" s="1"/>
  <c r="R381" i="5"/>
  <c r="E24" i="6"/>
  <c r="K24" s="1"/>
  <c r="Q355" i="5"/>
  <c r="K722"/>
  <c r="Q723"/>
  <c r="R731"/>
  <c r="F19" i="6"/>
  <c r="L19" s="1"/>
  <c r="L730" i="5"/>
  <c r="L128"/>
  <c r="R128" s="1"/>
  <c r="R129"/>
  <c r="F70" i="6"/>
  <c r="L70" s="1"/>
  <c r="R291" i="5"/>
  <c r="E70" i="6"/>
  <c r="K70" s="1"/>
  <c r="Q291" i="5"/>
  <c r="L742"/>
  <c r="R742" s="1"/>
  <c r="R743"/>
  <c r="E56" i="6"/>
  <c r="K56" s="1"/>
  <c r="Q224" i="5"/>
  <c r="E18" i="6"/>
  <c r="K18" s="1"/>
  <c r="Q375" i="5"/>
  <c r="L160"/>
  <c r="F54" i="6" s="1"/>
  <c r="R161" i="5"/>
  <c r="L569"/>
  <c r="R571"/>
  <c r="K160"/>
  <c r="E54" i="6" s="1"/>
  <c r="Q161" i="5"/>
  <c r="R669"/>
  <c r="L668"/>
  <c r="E43" i="6"/>
  <c r="K43" s="1"/>
  <c r="Q571" i="5"/>
  <c r="K755"/>
  <c r="L755"/>
  <c r="F22" i="6"/>
  <c r="J309" i="5"/>
  <c r="P309" s="1"/>
  <c r="J307"/>
  <c r="P307" s="1"/>
  <c r="K56" l="1"/>
  <c r="Q56" s="1"/>
  <c r="E60" i="6"/>
  <c r="K60" s="1"/>
  <c r="E30"/>
  <c r="K30" s="1"/>
  <c r="R374" i="5"/>
  <c r="K344"/>
  <c r="Q344" s="1"/>
  <c r="E22" i="6"/>
  <c r="K22" s="1"/>
  <c r="K302" i="5"/>
  <c r="Q302" s="1"/>
  <c r="F17" i="6"/>
  <c r="L17" s="1"/>
  <c r="L22"/>
  <c r="R570" i="5"/>
  <c r="F43" i="6"/>
  <c r="Q419" i="5"/>
  <c r="K374"/>
  <c r="E25" i="6"/>
  <c r="Q570" i="5"/>
  <c r="K569"/>
  <c r="Q569" s="1"/>
  <c r="F60" i="6"/>
  <c r="R57" i="5"/>
  <c r="L56"/>
  <c r="F39" i="6"/>
  <c r="R529" i="5"/>
  <c r="L495"/>
  <c r="R495" s="1"/>
  <c r="E59" i="6"/>
  <c r="K59" s="1"/>
  <c r="E53"/>
  <c r="K53" s="1"/>
  <c r="Q144" i="5"/>
  <c r="K143"/>
  <c r="K729"/>
  <c r="Q729" s="1"/>
  <c r="Q730"/>
  <c r="L721"/>
  <c r="R721" s="1"/>
  <c r="R722"/>
  <c r="F81" i="6"/>
  <c r="R569" i="5"/>
  <c r="F57" i="6"/>
  <c r="L57" s="1"/>
  <c r="R243" i="5"/>
  <c r="F69" i="6"/>
  <c r="R271" i="5"/>
  <c r="L270"/>
  <c r="R270" s="1"/>
  <c r="K54" i="6"/>
  <c r="Q160" i="5"/>
  <c r="L54" i="6"/>
  <c r="R160" i="5"/>
  <c r="L143"/>
  <c r="Q591"/>
  <c r="E44" i="6"/>
  <c r="K44" s="1"/>
  <c r="E39"/>
  <c r="Q529" i="5"/>
  <c r="K495"/>
  <c r="Q495" s="1"/>
  <c r="E69" i="6"/>
  <c r="Q271" i="5"/>
  <c r="K270"/>
  <c r="Q270" s="1"/>
  <c r="L33"/>
  <c r="R33" s="1"/>
  <c r="R34"/>
  <c r="F55" i="6"/>
  <c r="L55" s="1"/>
  <c r="K667" i="5"/>
  <c r="Q668"/>
  <c r="L302"/>
  <c r="R302" s="1"/>
  <c r="R303"/>
  <c r="L667"/>
  <c r="R668"/>
  <c r="L729"/>
  <c r="R729" s="1"/>
  <c r="R730"/>
  <c r="Q722"/>
  <c r="E81" i="6"/>
  <c r="K721" i="5"/>
  <c r="Q721" s="1"/>
  <c r="L344"/>
  <c r="R346"/>
  <c r="Q34"/>
  <c r="E55" i="6"/>
  <c r="K55" s="1"/>
  <c r="K33" i="5"/>
  <c r="J306"/>
  <c r="P306" s="1"/>
  <c r="K343" l="1"/>
  <c r="Q343" s="1"/>
  <c r="L373"/>
  <c r="K373"/>
  <c r="Q373" s="1"/>
  <c r="F36" i="6"/>
  <c r="L36" s="1"/>
  <c r="L39"/>
  <c r="F59"/>
  <c r="L59" s="1"/>
  <c r="L60"/>
  <c r="E80"/>
  <c r="K80" s="1"/>
  <c r="K81"/>
  <c r="E66"/>
  <c r="K66" s="1"/>
  <c r="K69"/>
  <c r="F66"/>
  <c r="L66" s="1"/>
  <c r="L69"/>
  <c r="F80"/>
  <c r="L80" s="1"/>
  <c r="L81"/>
  <c r="F42"/>
  <c r="L42" s="1"/>
  <c r="L43"/>
  <c r="E36"/>
  <c r="K36" s="1"/>
  <c r="K39"/>
  <c r="E42"/>
  <c r="K42" s="1"/>
  <c r="E17"/>
  <c r="K17" s="1"/>
  <c r="K25"/>
  <c r="E52"/>
  <c r="K52" s="1"/>
  <c r="E64"/>
  <c r="Q667" i="5"/>
  <c r="Q374"/>
  <c r="F64" i="6"/>
  <c r="R667" i="5"/>
  <c r="Q33"/>
  <c r="K17"/>
  <c r="K142"/>
  <c r="Q142" s="1"/>
  <c r="Q143"/>
  <c r="L17"/>
  <c r="R17" s="1"/>
  <c r="R56"/>
  <c r="L343"/>
  <c r="R343" s="1"/>
  <c r="R344"/>
  <c r="L142"/>
  <c r="R142" s="1"/>
  <c r="R143"/>
  <c r="F52" i="6"/>
  <c r="J602" i="5"/>
  <c r="J544"/>
  <c r="P544" s="1"/>
  <c r="L52" i="6" l="1"/>
  <c r="F63"/>
  <c r="L63" s="1"/>
  <c r="L64"/>
  <c r="E63"/>
  <c r="K63" s="1"/>
  <c r="K64"/>
  <c r="L753" i="5"/>
  <c r="R373"/>
  <c r="J601"/>
  <c r="P602"/>
  <c r="Q17"/>
  <c r="K753"/>
  <c r="J594"/>
  <c r="E83" i="6" l="1"/>
  <c r="K83" s="1"/>
  <c r="F83"/>
  <c r="L83" s="1"/>
  <c r="J600" i="5"/>
  <c r="P601"/>
  <c r="K767"/>
  <c r="Q753"/>
  <c r="J593"/>
  <c r="P594"/>
  <c r="L767"/>
  <c r="R753"/>
  <c r="J709"/>
  <c r="J543"/>
  <c r="J322"/>
  <c r="J512"/>
  <c r="J511" l="1"/>
  <c r="J510" s="1"/>
  <c r="P512"/>
  <c r="J542"/>
  <c r="P543"/>
  <c r="J321"/>
  <c r="P322"/>
  <c r="P709"/>
  <c r="J708"/>
  <c r="P708" s="1"/>
  <c r="J592"/>
  <c r="P592" s="1"/>
  <c r="P593"/>
  <c r="J599"/>
  <c r="P599" s="1"/>
  <c r="P600"/>
  <c r="J584"/>
  <c r="P584" s="1"/>
  <c r="J579"/>
  <c r="P579" s="1"/>
  <c r="J320" l="1"/>
  <c r="P321"/>
  <c r="J541"/>
  <c r="P541" s="1"/>
  <c r="P542"/>
  <c r="P510"/>
  <c r="P511"/>
  <c r="J95"/>
  <c r="P95" s="1"/>
  <c r="J101"/>
  <c r="J100" l="1"/>
  <c r="P100" s="1"/>
  <c r="P101"/>
  <c r="J319"/>
  <c r="P320"/>
  <c r="J94"/>
  <c r="P94" s="1"/>
  <c r="J318" l="1"/>
  <c r="P318" s="1"/>
  <c r="P319"/>
  <c r="J676"/>
  <c r="P676" s="1"/>
  <c r="J228" l="1"/>
  <c r="P228" s="1"/>
  <c r="J227" l="1"/>
  <c r="P227" s="1"/>
  <c r="J582" l="1"/>
  <c r="J577"/>
  <c r="J576" l="1"/>
  <c r="P576" s="1"/>
  <c r="P577"/>
  <c r="J581"/>
  <c r="P581" s="1"/>
  <c r="P582"/>
  <c r="J182"/>
  <c r="J181" l="1"/>
  <c r="P181" s="1"/>
  <c r="P182"/>
  <c r="J685"/>
  <c r="P685" s="1"/>
  <c r="J201" l="1"/>
  <c r="P201" s="1"/>
  <c r="J197"/>
  <c r="P197" s="1"/>
  <c r="J213"/>
  <c r="J210"/>
  <c r="J179"/>
  <c r="J157"/>
  <c r="J209" l="1"/>
  <c r="P209" s="1"/>
  <c r="P210"/>
  <c r="J212"/>
  <c r="P212" s="1"/>
  <c r="P213"/>
  <c r="J156"/>
  <c r="P156" s="1"/>
  <c r="P157"/>
  <c r="J178"/>
  <c r="P178" s="1"/>
  <c r="P179"/>
  <c r="J196"/>
  <c r="P196" s="1"/>
  <c r="J221"/>
  <c r="J220" l="1"/>
  <c r="P220" s="1"/>
  <c r="P221"/>
  <c r="J219" l="1"/>
  <c r="P219" s="1"/>
  <c r="J443"/>
  <c r="P443" s="1"/>
  <c r="J285" l="1"/>
  <c r="J173"/>
  <c r="J172" l="1"/>
  <c r="P172" s="1"/>
  <c r="P173"/>
  <c r="J284"/>
  <c r="P284" s="1"/>
  <c r="P285"/>
  <c r="J364"/>
  <c r="P364" s="1"/>
  <c r="J363" l="1"/>
  <c r="J477"/>
  <c r="P477" s="1"/>
  <c r="J392"/>
  <c r="P392" s="1"/>
  <c r="P363" l="1"/>
  <c r="J362"/>
  <c r="J476"/>
  <c r="J405"/>
  <c r="P405" s="1"/>
  <c r="J463" l="1"/>
  <c r="P463" s="1"/>
  <c r="P476"/>
  <c r="J361"/>
  <c r="P361" s="1"/>
  <c r="P362"/>
  <c r="J559"/>
  <c r="P559" s="1"/>
  <c r="J462" l="1"/>
  <c r="P462" s="1"/>
  <c r="J558"/>
  <c r="P558" s="1"/>
  <c r="D33" i="6" l="1"/>
  <c r="J33" s="1"/>
  <c r="J139" i="5"/>
  <c r="P139" s="1"/>
  <c r="J134"/>
  <c r="P134" s="1"/>
  <c r="J118" l="1"/>
  <c r="P118" s="1"/>
  <c r="J237" l="1"/>
  <c r="P237" s="1"/>
  <c r="J167"/>
  <c r="P167" s="1"/>
  <c r="J151"/>
  <c r="P151" s="1"/>
  <c r="J606"/>
  <c r="P606" s="1"/>
  <c r="J150" l="1"/>
  <c r="P150" s="1"/>
  <c r="J236"/>
  <c r="P236" s="1"/>
  <c r="J166"/>
  <c r="P166" s="1"/>
  <c r="J605"/>
  <c r="P605" s="1"/>
  <c r="J604" l="1"/>
  <c r="J591" l="1"/>
  <c r="P591" s="1"/>
  <c r="P604"/>
  <c r="J703"/>
  <c r="P703" s="1"/>
  <c r="J683"/>
  <c r="P683" s="1"/>
  <c r="J672"/>
  <c r="P672" s="1"/>
  <c r="D44" i="6" l="1"/>
  <c r="J44" s="1"/>
  <c r="J671" i="5"/>
  <c r="P671" s="1"/>
  <c r="J670" l="1"/>
  <c r="J669" l="1"/>
  <c r="P669" s="1"/>
  <c r="P670"/>
  <c r="J400"/>
  <c r="P400" s="1"/>
  <c r="J61" l="1"/>
  <c r="P61" s="1"/>
  <c r="J60" l="1"/>
  <c r="P60" s="1"/>
  <c r="J89"/>
  <c r="P89" s="1"/>
  <c r="J88" l="1"/>
  <c r="P88" s="1"/>
  <c r="J422" l="1"/>
  <c r="P422" s="1"/>
  <c r="J337"/>
  <c r="J562"/>
  <c r="P562" s="1"/>
  <c r="J336" l="1"/>
  <c r="P337"/>
  <c r="J421"/>
  <c r="P421" s="1"/>
  <c r="J561"/>
  <c r="P561" s="1"/>
  <c r="J574"/>
  <c r="P574" s="1"/>
  <c r="J427"/>
  <c r="P427" s="1"/>
  <c r="J332" l="1"/>
  <c r="P332" s="1"/>
  <c r="P336"/>
  <c r="J420"/>
  <c r="P420" s="1"/>
  <c r="J573"/>
  <c r="J426"/>
  <c r="J572" l="1"/>
  <c r="P572" s="1"/>
  <c r="P573"/>
  <c r="J425"/>
  <c r="P425" s="1"/>
  <c r="P426"/>
  <c r="J647"/>
  <c r="J326"/>
  <c r="J571" l="1"/>
  <c r="J570" s="1"/>
  <c r="P570" s="1"/>
  <c r="J424"/>
  <c r="P424" s="1"/>
  <c r="P571"/>
  <c r="J325"/>
  <c r="P325" s="1"/>
  <c r="P326"/>
  <c r="J646"/>
  <c r="P646" s="1"/>
  <c r="P647"/>
  <c r="D43" i="6"/>
  <c r="J43" s="1"/>
  <c r="D50"/>
  <c r="J50" s="1"/>
  <c r="J83" i="5"/>
  <c r="P83" s="1"/>
  <c r="J38"/>
  <c r="P38" s="1"/>
  <c r="J569" l="1"/>
  <c r="P569" s="1"/>
  <c r="D48" i="6"/>
  <c r="J48" s="1"/>
  <c r="J82" i="5"/>
  <c r="P82" s="1"/>
  <c r="J37"/>
  <c r="P37" s="1"/>
  <c r="D42" i="6" l="1"/>
  <c r="J42" s="1"/>
  <c r="J378" i="5"/>
  <c r="P378" s="1"/>
  <c r="J377" l="1"/>
  <c r="P377" s="1"/>
  <c r="J108"/>
  <c r="P108" s="1"/>
  <c r="J105"/>
  <c r="P105" s="1"/>
  <c r="J107" l="1"/>
  <c r="P107" s="1"/>
  <c r="J376"/>
  <c r="P376" s="1"/>
  <c r="J104"/>
  <c r="P104" s="1"/>
  <c r="J103" l="1"/>
  <c r="P103" s="1"/>
  <c r="J375"/>
  <c r="P375" s="1"/>
  <c r="J217"/>
  <c r="P217" s="1"/>
  <c r="J22"/>
  <c r="P22" s="1"/>
  <c r="J21" l="1"/>
  <c r="D18" i="6"/>
  <c r="J18" s="1"/>
  <c r="J216" i="5"/>
  <c r="P216" s="1"/>
  <c r="J20" l="1"/>
  <c r="P20" s="1"/>
  <c r="P21"/>
  <c r="J215"/>
  <c r="P215" s="1"/>
  <c r="J726"/>
  <c r="P726" s="1"/>
  <c r="J47"/>
  <c r="P47" s="1"/>
  <c r="J556"/>
  <c r="P556" s="1"/>
  <c r="J207"/>
  <c r="P207" s="1"/>
  <c r="J176"/>
  <c r="P176" s="1"/>
  <c r="J154"/>
  <c r="P154" s="1"/>
  <c r="J41"/>
  <c r="P41" s="1"/>
  <c r="J44"/>
  <c r="P44" s="1"/>
  <c r="J86"/>
  <c r="P86" s="1"/>
  <c r="J92"/>
  <c r="P92" s="1"/>
  <c r="J64"/>
  <c r="P64" s="1"/>
  <c r="J67"/>
  <c r="P67" s="1"/>
  <c r="J70"/>
  <c r="P70" s="1"/>
  <c r="J73"/>
  <c r="P73" s="1"/>
  <c r="J416"/>
  <c r="P416" s="1"/>
  <c r="J204"/>
  <c r="P204" s="1"/>
  <c r="J148"/>
  <c r="P148" s="1"/>
  <c r="J164"/>
  <c r="P164" s="1"/>
  <c r="J170"/>
  <c r="P170" s="1"/>
  <c r="J186"/>
  <c r="P186" s="1"/>
  <c r="J190"/>
  <c r="P190" s="1"/>
  <c r="J231"/>
  <c r="P231" s="1"/>
  <c r="J234"/>
  <c r="P234" s="1"/>
  <c r="J261"/>
  <c r="P261" s="1"/>
  <c r="J265"/>
  <c r="P265" s="1"/>
  <c r="J267"/>
  <c r="P267" s="1"/>
  <c r="J53"/>
  <c r="P53" s="1"/>
  <c r="J439"/>
  <c r="P439" s="1"/>
  <c r="J441"/>
  <c r="P441" s="1"/>
  <c r="J132"/>
  <c r="P132" s="1"/>
  <c r="J137"/>
  <c r="P137" s="1"/>
  <c r="J278"/>
  <c r="P278" s="1"/>
  <c r="J288"/>
  <c r="P288" s="1"/>
  <c r="J384"/>
  <c r="P384" s="1"/>
  <c r="J492"/>
  <c r="J499"/>
  <c r="P499" s="1"/>
  <c r="J718"/>
  <c r="P718" s="1"/>
  <c r="J410"/>
  <c r="J299"/>
  <c r="P299" s="1"/>
  <c r="J350"/>
  <c r="P350" s="1"/>
  <c r="J352"/>
  <c r="P352" s="1"/>
  <c r="J548"/>
  <c r="J358"/>
  <c r="P358" s="1"/>
  <c r="J734"/>
  <c r="J114"/>
  <c r="P114" s="1"/>
  <c r="J116"/>
  <c r="P116" s="1"/>
  <c r="J297"/>
  <c r="P297" s="1"/>
  <c r="J294"/>
  <c r="P294" s="1"/>
  <c r="J388"/>
  <c r="P388" s="1"/>
  <c r="J390"/>
  <c r="P390" s="1"/>
  <c r="J395"/>
  <c r="P395" s="1"/>
  <c r="J403"/>
  <c r="P403" s="1"/>
  <c r="J315"/>
  <c r="J398"/>
  <c r="P398" s="1"/>
  <c r="J706"/>
  <c r="P706" s="1"/>
  <c r="J737"/>
  <c r="P737" s="1"/>
  <c r="J739"/>
  <c r="P739" s="1"/>
  <c r="J747"/>
  <c r="P747" s="1"/>
  <c r="J749"/>
  <c r="P749" s="1"/>
  <c r="D77" i="6"/>
  <c r="J77" s="1"/>
  <c r="J19" i="5" l="1"/>
  <c r="P19" s="1"/>
  <c r="P548"/>
  <c r="J547"/>
  <c r="J733"/>
  <c r="P733" s="1"/>
  <c r="P734"/>
  <c r="J489"/>
  <c r="P489" s="1"/>
  <c r="P492"/>
  <c r="J407"/>
  <c r="P407" s="1"/>
  <c r="P410"/>
  <c r="J314"/>
  <c r="P314" s="1"/>
  <c r="P315"/>
  <c r="J746"/>
  <c r="J264"/>
  <c r="P264" s="1"/>
  <c r="J402"/>
  <c r="P402" s="1"/>
  <c r="P547"/>
  <c r="J163"/>
  <c r="P163" s="1"/>
  <c r="J66"/>
  <c r="P66" s="1"/>
  <c r="J438"/>
  <c r="J349"/>
  <c r="J736"/>
  <c r="P736" s="1"/>
  <c r="J383"/>
  <c r="P383" s="1"/>
  <c r="J113"/>
  <c r="P113" s="1"/>
  <c r="J131"/>
  <c r="P131" s="1"/>
  <c r="J136"/>
  <c r="P136" s="1"/>
  <c r="J682"/>
  <c r="P682" s="1"/>
  <c r="J293"/>
  <c r="P293" s="1"/>
  <c r="J725"/>
  <c r="P725" s="1"/>
  <c r="J397"/>
  <c r="P397" s="1"/>
  <c r="J185"/>
  <c r="J705"/>
  <c r="P705" s="1"/>
  <c r="J357"/>
  <c r="P357" s="1"/>
  <c r="J675"/>
  <c r="J277"/>
  <c r="J239"/>
  <c r="P239" s="1"/>
  <c r="J189"/>
  <c r="P189" s="1"/>
  <c r="J169"/>
  <c r="P169" s="1"/>
  <c r="J147"/>
  <c r="P147" s="1"/>
  <c r="J415"/>
  <c r="P415" s="1"/>
  <c r="J69"/>
  <c r="P69" s="1"/>
  <c r="J206"/>
  <c r="P206" s="1"/>
  <c r="J287"/>
  <c r="J280" s="1"/>
  <c r="J52"/>
  <c r="P52" s="1"/>
  <c r="J260"/>
  <c r="P260" s="1"/>
  <c r="J230"/>
  <c r="P230" s="1"/>
  <c r="J203"/>
  <c r="P203" s="1"/>
  <c r="J63"/>
  <c r="J85"/>
  <c r="P85" s="1"/>
  <c r="J40"/>
  <c r="P40" s="1"/>
  <c r="J175"/>
  <c r="P175" s="1"/>
  <c r="J46"/>
  <c r="P46" s="1"/>
  <c r="J702"/>
  <c r="J394"/>
  <c r="P394" s="1"/>
  <c r="J717"/>
  <c r="P717" s="1"/>
  <c r="J498"/>
  <c r="P498" s="1"/>
  <c r="J233"/>
  <c r="P233" s="1"/>
  <c r="J72"/>
  <c r="P72" s="1"/>
  <c r="J91"/>
  <c r="P91" s="1"/>
  <c r="J43"/>
  <c r="P43" s="1"/>
  <c r="J153"/>
  <c r="P153" s="1"/>
  <c r="J555"/>
  <c r="J509"/>
  <c r="J387"/>
  <c r="P387" s="1"/>
  <c r="J296"/>
  <c r="P296" s="1"/>
  <c r="P438" l="1"/>
  <c r="J437"/>
  <c r="P702"/>
  <c r="J701"/>
  <c r="P277"/>
  <c r="J273"/>
  <c r="P273" s="1"/>
  <c r="P63"/>
  <c r="J59"/>
  <c r="P59" s="1"/>
  <c r="P280"/>
  <c r="P287"/>
  <c r="J184"/>
  <c r="P184" s="1"/>
  <c r="P185"/>
  <c r="J554"/>
  <c r="P555"/>
  <c r="J674"/>
  <c r="P674" s="1"/>
  <c r="P675"/>
  <c r="J745"/>
  <c r="P745" s="1"/>
  <c r="P746"/>
  <c r="D38" i="6"/>
  <c r="J38" s="1"/>
  <c r="P509" i="5"/>
  <c r="J348"/>
  <c r="P349"/>
  <c r="J305"/>
  <c r="J497"/>
  <c r="J146"/>
  <c r="P146" s="1"/>
  <c r="J546"/>
  <c r="J81"/>
  <c r="P81" s="1"/>
  <c r="J386"/>
  <c r="P386" s="1"/>
  <c r="J195"/>
  <c r="P195" s="1"/>
  <c r="J226"/>
  <c r="P226" s="1"/>
  <c r="J162"/>
  <c r="P162" s="1"/>
  <c r="J36"/>
  <c r="P36" s="1"/>
  <c r="J130"/>
  <c r="P130" s="1"/>
  <c r="J51"/>
  <c r="P51" s="1"/>
  <c r="J724"/>
  <c r="P724" s="1"/>
  <c r="J292"/>
  <c r="P292" s="1"/>
  <c r="J382"/>
  <c r="P382" s="1"/>
  <c r="J112"/>
  <c r="P112" s="1"/>
  <c r="J245"/>
  <c r="P245" s="1"/>
  <c r="J732"/>
  <c r="P732" s="1"/>
  <c r="J263"/>
  <c r="P263" s="1"/>
  <c r="J356"/>
  <c r="P356" s="1"/>
  <c r="J716"/>
  <c r="J488"/>
  <c r="J259"/>
  <c r="P259" s="1"/>
  <c r="J414"/>
  <c r="P414" s="1"/>
  <c r="J188"/>
  <c r="P188" s="1"/>
  <c r="J681"/>
  <c r="P681" s="1"/>
  <c r="J58" l="1"/>
  <c r="J496"/>
  <c r="P496" s="1"/>
  <c r="P497"/>
  <c r="J529"/>
  <c r="P546"/>
  <c r="J304"/>
  <c r="P305"/>
  <c r="J688"/>
  <c r="P688" s="1"/>
  <c r="P701"/>
  <c r="J715"/>
  <c r="P715" s="1"/>
  <c r="P716"/>
  <c r="J483"/>
  <c r="P488"/>
  <c r="J419"/>
  <c r="P419" s="1"/>
  <c r="P437"/>
  <c r="J347"/>
  <c r="P347" s="1"/>
  <c r="P348"/>
  <c r="J553"/>
  <c r="P554"/>
  <c r="J244"/>
  <c r="P244" s="1"/>
  <c r="J161"/>
  <c r="P161" s="1"/>
  <c r="J194"/>
  <c r="P194" s="1"/>
  <c r="J668"/>
  <c r="P668" s="1"/>
  <c r="J129"/>
  <c r="P129" s="1"/>
  <c r="J723"/>
  <c r="P723" s="1"/>
  <c r="J145"/>
  <c r="P145" s="1"/>
  <c r="J225"/>
  <c r="P225" s="1"/>
  <c r="J35"/>
  <c r="P35" s="1"/>
  <c r="J381"/>
  <c r="J680"/>
  <c r="P680" s="1"/>
  <c r="J272"/>
  <c r="P272" s="1"/>
  <c r="J744"/>
  <c r="J413"/>
  <c r="P413" s="1"/>
  <c r="J355"/>
  <c r="P355" s="1"/>
  <c r="J731"/>
  <c r="J111"/>
  <c r="P111" s="1"/>
  <c r="J291"/>
  <c r="P291" s="1"/>
  <c r="J50"/>
  <c r="P50" s="1"/>
  <c r="J18"/>
  <c r="P18" s="1"/>
  <c r="J730" l="1"/>
  <c r="P731"/>
  <c r="J461"/>
  <c r="P461" s="1"/>
  <c r="P483"/>
  <c r="D39" i="6"/>
  <c r="J39" s="1"/>
  <c r="P529" i="5"/>
  <c r="J743"/>
  <c r="P743" s="1"/>
  <c r="P744"/>
  <c r="J57"/>
  <c r="P57" s="1"/>
  <c r="P58"/>
  <c r="D20" i="6"/>
  <c r="J20" s="1"/>
  <c r="P381" i="5"/>
  <c r="P553"/>
  <c r="D40" i="6"/>
  <c r="J40" s="1"/>
  <c r="J303" i="5"/>
  <c r="P304"/>
  <c r="J34"/>
  <c r="P34" s="1"/>
  <c r="J755"/>
  <c r="D34" i="6"/>
  <c r="J34" s="1"/>
  <c r="D25"/>
  <c r="J25" s="1"/>
  <c r="J374" i="5"/>
  <c r="D68" i="6"/>
  <c r="J68" s="1"/>
  <c r="J193" i="5"/>
  <c r="P193" s="1"/>
  <c r="D73" i="6"/>
  <c r="J73" s="1"/>
  <c r="J160" i="5"/>
  <c r="D54" i="6" s="1"/>
  <c r="J346" i="5"/>
  <c r="J722"/>
  <c r="P722" s="1"/>
  <c r="J224"/>
  <c r="P224" s="1"/>
  <c r="J128"/>
  <c r="P128" s="1"/>
  <c r="J144"/>
  <c r="P144" s="1"/>
  <c r="D37" i="6"/>
  <c r="J37" s="1"/>
  <c r="J495" i="5"/>
  <c r="P495" s="1"/>
  <c r="J667"/>
  <c r="P667" s="1"/>
  <c r="D61" i="6"/>
  <c r="J61" s="1"/>
  <c r="J271" i="5"/>
  <c r="D67" i="6"/>
  <c r="J67" s="1"/>
  <c r="J679" i="5"/>
  <c r="P679" s="1"/>
  <c r="D19" i="6"/>
  <c r="J19" s="1"/>
  <c r="D24"/>
  <c r="J24" s="1"/>
  <c r="J243" i="5"/>
  <c r="P243" s="1"/>
  <c r="D70" i="6"/>
  <c r="J70" s="1"/>
  <c r="D21"/>
  <c r="J21" s="1"/>
  <c r="P374" i="5" l="1"/>
  <c r="J742"/>
  <c r="P742" s="1"/>
  <c r="J729"/>
  <c r="P729" s="1"/>
  <c r="P730"/>
  <c r="D69" i="6"/>
  <c r="J69" s="1"/>
  <c r="P271" i="5"/>
  <c r="J344"/>
  <c r="P344" s="1"/>
  <c r="P346"/>
  <c r="J302"/>
  <c r="P302" s="1"/>
  <c r="P303"/>
  <c r="J54" i="6"/>
  <c r="P160" i="5"/>
  <c r="J143"/>
  <c r="P143" s="1"/>
  <c r="D53" i="6"/>
  <c r="J53" s="1"/>
  <c r="D60"/>
  <c r="J60" s="1"/>
  <c r="D72"/>
  <c r="J72" s="1"/>
  <c r="J721" i="5"/>
  <c r="J373" s="1"/>
  <c r="D81" i="6"/>
  <c r="J81" s="1"/>
  <c r="D22"/>
  <c r="J22" s="1"/>
  <c r="D56"/>
  <c r="J56" s="1"/>
  <c r="J56" i="5"/>
  <c r="P56" s="1"/>
  <c r="J33"/>
  <c r="D55" i="6"/>
  <c r="J55" s="1"/>
  <c r="D57"/>
  <c r="J57" s="1"/>
  <c r="D30"/>
  <c r="J30" s="1"/>
  <c r="J270" i="5"/>
  <c r="P270" s="1"/>
  <c r="D64" i="6"/>
  <c r="J64" s="1"/>
  <c r="D36"/>
  <c r="J36" s="1"/>
  <c r="J343" i="5" l="1"/>
  <c r="P343" s="1"/>
  <c r="P373"/>
  <c r="P721"/>
  <c r="J17"/>
  <c r="P17" s="1"/>
  <c r="P33"/>
  <c r="D27" i="6"/>
  <c r="J27" s="1"/>
  <c r="D17"/>
  <c r="J17" s="1"/>
  <c r="D80"/>
  <c r="J80" s="1"/>
  <c r="D52"/>
  <c r="J52" s="1"/>
  <c r="D59"/>
  <c r="J59" s="1"/>
  <c r="D66"/>
  <c r="J66" s="1"/>
  <c r="D63"/>
  <c r="J63" s="1"/>
  <c r="J142" i="5"/>
  <c r="P142" s="1"/>
  <c r="J753" l="1"/>
  <c r="D83" i="6"/>
  <c r="J83" s="1"/>
  <c r="J767" i="5" l="1"/>
  <c r="P753"/>
</calcChain>
</file>

<file path=xl/sharedStrings.xml><?xml version="1.0" encoding="utf-8"?>
<sst xmlns="http://schemas.openxmlformats.org/spreadsheetml/2006/main" count="5779" uniqueCount="437">
  <si>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</si>
  <si>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</si>
  <si>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07</t>
  </si>
  <si>
    <t>06</t>
  </si>
  <si>
    <t>Физическая культура и спорт</t>
  </si>
  <si>
    <t>Социальная политика</t>
  </si>
  <si>
    <t>Пенсионное обеспечение</t>
  </si>
  <si>
    <t>Социальное обеспечение населения</t>
  </si>
  <si>
    <t>Дошкольное образование</t>
  </si>
  <si>
    <t>Целевая статья</t>
  </si>
  <si>
    <t>Наименование</t>
  </si>
  <si>
    <t>Раз-дел</t>
  </si>
  <si>
    <t>Под-раз-дел</t>
  </si>
  <si>
    <t>03</t>
  </si>
  <si>
    <t>09</t>
  </si>
  <si>
    <t>Национальная экономика</t>
  </si>
  <si>
    <t>04</t>
  </si>
  <si>
    <t>02</t>
  </si>
  <si>
    <t>05</t>
  </si>
  <si>
    <t>11</t>
  </si>
  <si>
    <t>01</t>
  </si>
  <si>
    <t>Охрана семьи и детства</t>
  </si>
  <si>
    <t>Резервные фонды</t>
  </si>
  <si>
    <t>Транспорт</t>
  </si>
  <si>
    <t>Образование</t>
  </si>
  <si>
    <t>Общее образование</t>
  </si>
  <si>
    <t>Национальная безопасность и правоохранительная деятельность</t>
  </si>
  <si>
    <t>08</t>
  </si>
  <si>
    <t>Культура</t>
  </si>
  <si>
    <t>14</t>
  </si>
  <si>
    <t>10</t>
  </si>
  <si>
    <t>12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</si>
  <si>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</si>
  <si>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</si>
  <si>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</si>
  <si>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вопросы в области образования</t>
  </si>
  <si>
    <t>Сельское хозяйство и рыболовство</t>
  </si>
  <si>
    <t>Другие вопросы в области национальной экономики</t>
  </si>
  <si>
    <t>7</t>
  </si>
  <si>
    <t>ВСЕГО</t>
  </si>
  <si>
    <t>Глава</t>
  </si>
  <si>
    <t>017</t>
  </si>
  <si>
    <t>015</t>
  </si>
  <si>
    <t>к решению Собрания депутатов</t>
  </si>
  <si>
    <t>4</t>
  </si>
  <si>
    <t>Функционирование высшего должностного лица субъекта Российской Федерации и муниципального образования</t>
  </si>
  <si>
    <t>Жилищно-коммунальное хозяйство</t>
  </si>
  <si>
    <t xml:space="preserve">Коммунальное хозяйство </t>
  </si>
  <si>
    <t>Вид расхо-дов</t>
  </si>
  <si>
    <t>13</t>
  </si>
  <si>
    <t>Другие вопросы в области культуры, кинематографии</t>
  </si>
  <si>
    <t xml:space="preserve">Физическая культура 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</si>
  <si>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</si>
  <si>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Культура и кинематография</t>
  </si>
  <si>
    <t>Национальная оборона</t>
  </si>
  <si>
    <t>Мобилизационная и вневойсковая подготовка</t>
  </si>
  <si>
    <t>Средства массовой информации</t>
  </si>
  <si>
    <t>Телевидение и радиовещание</t>
  </si>
  <si>
    <t>Осуществление государственных полномочий по выплате вознаграждений профессиональным опекунам</t>
  </si>
  <si>
    <t>Другие вопросы в области социальной политики</t>
  </si>
  <si>
    <t>Дорожное хозяйство (дорожные фонды)</t>
  </si>
  <si>
    <t>Жилищное хозяйство</t>
  </si>
  <si>
    <t>Осуществление государственных полномочий по формированию торгового реестра</t>
  </si>
  <si>
    <t>028</t>
  </si>
  <si>
    <t>Обеспечение проведения выборов и референдумов</t>
  </si>
  <si>
    <t>Охрана окружающей среды</t>
  </si>
  <si>
    <t>Охрана объектов растительного и животного мира и среды их обитания</t>
  </si>
  <si>
    <t>6</t>
  </si>
  <si>
    <t>Благоустройство</t>
  </si>
  <si>
    <t>Массовый спорт</t>
  </si>
  <si>
    <t>0</t>
  </si>
  <si>
    <t>600</t>
  </si>
  <si>
    <t>Предоставление субсидий бюджетным, автономным учреждениям и иным некоммерческим организациям</t>
  </si>
  <si>
    <t>Компенсация части родительской платы за присмотр и уход за ребенком в государственных и муниципальных образовательных организациях, реализующих образовательную программу дошкольного образования</t>
  </si>
  <si>
    <t>610</t>
  </si>
  <si>
    <t>Субсидии бюджетным учреждениям</t>
  </si>
  <si>
    <t>Осуществление государственных полномочий в сфере охраны труда</t>
  </si>
  <si>
    <t>800</t>
  </si>
  <si>
    <t>810</t>
  </si>
  <si>
    <t>Доставка муки и лекарственных средств в районы Крайнего Севера и приравненные к ним местности с ограниченными сроками завоза грузов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</si>
  <si>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</si>
  <si>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</t>
  </si>
  <si>
    <t>50</t>
  </si>
  <si>
    <t>Непрограммные расходы</t>
  </si>
  <si>
    <t xml:space="preserve">Непрограммные расходы </t>
  </si>
  <si>
    <t>15</t>
  </si>
  <si>
    <t>Обеспечение деятельности библиотек</t>
  </si>
  <si>
    <t>Расходы на содержание органов местного самоуправления и обеспечение их функций</t>
  </si>
  <si>
    <t>Мероприятия в области образования</t>
  </si>
  <si>
    <t xml:space="preserve">Обеспечение деятельности детского оздоровительно-образовательного центра "Стрела"  </t>
  </si>
  <si>
    <t>Представительские расходы</t>
  </si>
  <si>
    <t>Расходы на обеспечение деятельности казенных учреждений</t>
  </si>
  <si>
    <t>100</t>
  </si>
  <si>
    <t>110</t>
  </si>
  <si>
    <t>200</t>
  </si>
  <si>
    <t>240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</si>
  <si>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</si>
  <si>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</si>
  <si>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Иные закупки товаров, работ и услуг для обеспечения государственных (муниципальных) нужд</t>
  </si>
  <si>
    <t>300</t>
  </si>
  <si>
    <t>Социальное обеспечение и иные выплаты населению</t>
  </si>
  <si>
    <t>Организация отдыха детей в каникулярное время</t>
  </si>
  <si>
    <t>120</t>
  </si>
  <si>
    <t>Расходы на выплаты персоналу государственных (муниципальных) органов</t>
  </si>
  <si>
    <t>870</t>
  </si>
  <si>
    <t>Резервные средства</t>
  </si>
  <si>
    <t>Социальные выплаты гражданам, кроме публичных нормативных социальных выплат</t>
  </si>
  <si>
    <t>320</t>
  </si>
  <si>
    <t>Социальные помощь</t>
  </si>
  <si>
    <t>Обслуживание муниципального долга</t>
  </si>
  <si>
    <t>700</t>
  </si>
  <si>
    <t>730</t>
  </si>
  <si>
    <t>Обслуживание государственного (муниципального) долга</t>
  </si>
  <si>
    <t>3</t>
  </si>
  <si>
    <t>5</t>
  </si>
  <si>
    <t>Программы</t>
  </si>
  <si>
    <t>360</t>
  </si>
  <si>
    <t>Иные выплаты населению</t>
  </si>
  <si>
    <t>400</t>
  </si>
  <si>
    <t>410</t>
  </si>
  <si>
    <t>Капитальные вложения в объекты недвижимого имущества государственной (муниципальной) собственности</t>
  </si>
  <si>
    <t xml:space="preserve">Бюджетные инвестиции </t>
  </si>
  <si>
    <t>Проведение мероприятий  для молодежи</t>
  </si>
  <si>
    <t>Проведение мероприятий профилактической направленности для несовершеннолетних</t>
  </si>
  <si>
    <t>850</t>
  </si>
  <si>
    <t>Уплата налогов, сборов и иных платежей</t>
  </si>
  <si>
    <t>Спорт высших достижений</t>
  </si>
  <si>
    <t>1</t>
  </si>
  <si>
    <t>Здравоохранение</t>
  </si>
  <si>
    <t>Другие вопросы в области здравоохранения</t>
  </si>
  <si>
    <t>прогр</t>
  </si>
  <si>
    <t>Подпрограмма "Организация предоставления дополнительного образования в ДШИ №15, поддержка и развитие детского и юношеского творчества"</t>
  </si>
  <si>
    <t>Поддержка и развитие детского юношеского творчества</t>
  </si>
  <si>
    <t>Обеспечение деятельности ДШИ № 15</t>
  </si>
  <si>
    <t>2</t>
  </si>
  <si>
    <t>Подпрограмма «Организация библиотечной деятельности и информационного обслуживания»</t>
  </si>
  <si>
    <t>Подпрограмма «Сохранение и развитие традиционной народной культуры, историко-культурного наследия, самодеятельного художественного творчества, культурно-досуговой деятельности»</t>
  </si>
  <si>
    <t>Участие в областных и всероссийских соревнованиях</t>
  </si>
  <si>
    <t>Органы внутренних дел</t>
  </si>
  <si>
    <t>Подпрограмма «Повышение доступности и качества дошкольного образования»</t>
  </si>
  <si>
    <t xml:space="preserve">Обеспечение деятельности образовательных учреждений, реализующих программы дошкольного образования </t>
  </si>
  <si>
    <t>Подпрограмма «Развитие системы выявления, поддержки и сопровождения одаренных и талантливых детей»</t>
  </si>
  <si>
    <t>Подпрограмма «Повышение доступности и качества общего образования»</t>
  </si>
  <si>
    <t>Обеспечение деятельности образовательных учреждений, реализующих программы начального общего, основного общего, среднего общего образования</t>
  </si>
  <si>
    <t>Подпрограмма «Повышение доступности и качества дополнительного образования»</t>
  </si>
  <si>
    <t>Обеспечение деятельности образовательных учреждений, реализующих программы дополнительного образования</t>
  </si>
  <si>
    <t>Подпрограмма «Содействие повышению квалификации и переподготовки руководящих и педагогических кадров»</t>
  </si>
  <si>
    <t>Подпрограмма «Создание условий для сохранения и укрепления здоровья детей»</t>
  </si>
  <si>
    <t>00</t>
  </si>
  <si>
    <t>00000</t>
  </si>
  <si>
    <t>25130</t>
  </si>
  <si>
    <t>25140</t>
  </si>
  <si>
    <t>25410</t>
  </si>
  <si>
    <t>25010</t>
  </si>
  <si>
    <t>25080</t>
  </si>
  <si>
    <t>25100</t>
  </si>
  <si>
    <t>27050</t>
  </si>
  <si>
    <t>25090</t>
  </si>
  <si>
    <t>20030</t>
  </si>
  <si>
    <t>27340</t>
  </si>
  <si>
    <t>27350</t>
  </si>
  <si>
    <t>24090</t>
  </si>
  <si>
    <t>24140</t>
  </si>
  <si>
    <t>24100</t>
  </si>
  <si>
    <t>24210</t>
  </si>
  <si>
    <t>24120</t>
  </si>
  <si>
    <t>24190</t>
  </si>
  <si>
    <t>78320</t>
  </si>
  <si>
    <t>78650</t>
  </si>
  <si>
    <t>78730</t>
  </si>
  <si>
    <t>20020</t>
  </si>
  <si>
    <t>20060</t>
  </si>
  <si>
    <t>20070</t>
  </si>
  <si>
    <t>78700</t>
  </si>
  <si>
    <t>20120</t>
  </si>
  <si>
    <t>78690</t>
  </si>
  <si>
    <t>78710</t>
  </si>
  <si>
    <t>20110</t>
  </si>
  <si>
    <t>22230</t>
  </si>
  <si>
    <t>23030</t>
  </si>
  <si>
    <t>27040</t>
  </si>
  <si>
    <t>27030</t>
  </si>
  <si>
    <t>27100</t>
  </si>
  <si>
    <t>27110</t>
  </si>
  <si>
    <t>27060</t>
  </si>
  <si>
    <t>21060</t>
  </si>
  <si>
    <t>21110</t>
  </si>
  <si>
    <t>21750</t>
  </si>
  <si>
    <t>21180</t>
  </si>
  <si>
    <t>Обеспечение деятельности туристского культурно-музейного центра «Кимжа»</t>
  </si>
  <si>
    <t>21010</t>
  </si>
  <si>
    <t>Судебная система</t>
  </si>
  <si>
    <t>Другие вопросы в области национальной безопасности и правоохранительной деятельности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</si>
  <si>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</si>
  <si>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16</t>
  </si>
  <si>
    <t>27450</t>
  </si>
  <si>
    <t>20</t>
  </si>
  <si>
    <t>Выплата единовременного пособия молодым специалистам</t>
  </si>
  <si>
    <t>20500</t>
  </si>
  <si>
    <t xml:space="preserve">Молодежная политика </t>
  </si>
  <si>
    <t>Молодежная политика</t>
  </si>
  <si>
    <t>Культура, кинематография</t>
  </si>
  <si>
    <t>Другие вопросы в области культуры , кинематографии</t>
  </si>
  <si>
    <t>Дополнительное образование детей</t>
  </si>
  <si>
    <t>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</si>
  <si>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</si>
  <si>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78390</t>
  </si>
  <si>
    <t>24110</t>
  </si>
  <si>
    <t>Трудоустройство несовершеннолетних граждан в период каникулярного времени</t>
  </si>
  <si>
    <t>S8330</t>
  </si>
  <si>
    <t>20010</t>
  </si>
  <si>
    <t>Подпрограмма "Капитальный, текущий ремонты и реконструкция"</t>
  </si>
  <si>
    <t>Капитальный, текущий ремонты зданий находящихся в муниципальной собственности</t>
  </si>
  <si>
    <t>26030</t>
  </si>
  <si>
    <t>18</t>
  </si>
  <si>
    <t>Подпрограмма «Жилищное строительство»</t>
  </si>
  <si>
    <t>Подпрограмма «Инженерная инфраструктура»</t>
  </si>
  <si>
    <t>Другие вопросы в области охраны окружающей среды</t>
  </si>
  <si>
    <t>78791</t>
  </si>
  <si>
    <t>78792</t>
  </si>
  <si>
    <t>78270</t>
  </si>
  <si>
    <t xml:space="preserve">Выплата пенсии за выслугу лет лицам, замещавшим муниципальные должности </t>
  </si>
  <si>
    <t>350</t>
  </si>
  <si>
    <t>Премии и гранты</t>
  </si>
  <si>
    <t xml:space="preserve">Подпрограмма «Капитальный, текущий ремонты и реконструкция» </t>
  </si>
  <si>
    <t>23570</t>
  </si>
  <si>
    <t>24220</t>
  </si>
  <si>
    <t>21530</t>
  </si>
  <si>
    <t>Финансовая поддержка субъектов малого и среднего предпринимательства</t>
  </si>
  <si>
    <t>Гражданская оборона</t>
  </si>
  <si>
    <t>Защита населения и территории от последствий чрезвычайных ситуаций природного и техногенного характера, пожарная безопасность</t>
  </si>
  <si>
    <t>Осуществление переданых органам местного самоуправления муниципальных образований Архангнльской области государственных полномочий Архангельской области по созданию муниципальных комиссий по делам несовершеннолетних и защите их прав</t>
  </si>
  <si>
    <t>78793</t>
  </si>
  <si>
    <t>Осуществление переданых органам местного самоуправления муниципальных образований Архангнльской области государственных полномочий Архангельской области в сфере административных правонарушений</t>
  </si>
  <si>
    <t>20100</t>
  </si>
  <si>
    <t>Резервные средства для финансового обеспечения расходов в целях софинансирования субсидий и иных межбюджетных трансфертов, поступающих из областного бюджета</t>
  </si>
  <si>
    <t>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</si>
  <si>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</si>
  <si>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L3042</t>
  </si>
  <si>
    <t>Другие вопросы в области жилищно-коммунального хозяйства</t>
  </si>
  <si>
    <t>Расходы на проведение мероприятий за счет благотворительной помощи</t>
  </si>
  <si>
    <t>27400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</si>
  <si>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по организации и осуществлению деятельности по опеке и попечительству</t>
  </si>
  <si>
    <t>78621</t>
  </si>
  <si>
    <t>78622</t>
  </si>
  <si>
    <t>24080</t>
  </si>
  <si>
    <t>620</t>
  </si>
  <si>
    <t>630</t>
  </si>
  <si>
    <t>Обеспечение функционирования модели персонифицированного финансирования дополнительного образования детей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</si>
  <si>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</si>
  <si>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учреждений)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</si>
  <si>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</si>
  <si>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310</t>
  </si>
  <si>
    <t>Публичные нормативные социальные выплаты гражданам</t>
  </si>
  <si>
    <t>S6560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</si>
  <si>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– Фонда содействия реформированию жилищно-коммунального хозяйства</t>
  </si>
  <si>
    <t>F3</t>
  </si>
  <si>
    <t>67483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</si>
  <si>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 субъектов Российской Федерации</t>
  </si>
  <si>
    <t>67484</t>
  </si>
  <si>
    <t>Закупка товаров, работ и услуг для обеспечения государственных (муниципальных) нужд</t>
  </si>
  <si>
    <t>Обслуживание государственного (муниципального) внутреннего долга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</si>
  <si>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</si>
  <si>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78240</t>
  </si>
  <si>
    <t>Государственная поддержка отрасли культуры (реализация мероприятий по модернизации библиотек в части комплектования книжных фондов муниципальных библиотек)</t>
  </si>
  <si>
    <t>L5198</t>
  </si>
  <si>
    <t>20830</t>
  </si>
  <si>
    <t>23050</t>
  </si>
  <si>
    <t>22030</t>
  </si>
  <si>
    <t>21580</t>
  </si>
  <si>
    <t>Обеспечение земельных участков, предоставленных многодетным семьям, коммунальной и инженерной инфраструктуры</t>
  </si>
  <si>
    <t>20510</t>
  </si>
  <si>
    <t>024</t>
  </si>
  <si>
    <t>Приложение № 4</t>
  </si>
  <si>
    <t>Расходы на обеспечение деятельности контрольно-счетной комиссии</t>
  </si>
  <si>
    <t>20240</t>
  </si>
  <si>
    <t>2023 год</t>
  </si>
  <si>
    <t>2024 год</t>
  </si>
  <si>
    <t>2025 год</t>
  </si>
  <si>
    <t>Всего</t>
  </si>
  <si>
    <t>Подпрограмма «Повышение доступности и качества
 общего образования»</t>
  </si>
  <si>
    <t>Муниципальная программа «Развитие туризма на территории Мезенского муниципального округа Архангельской области на 2023 – 2025 годы»</t>
  </si>
  <si>
    <t>Муниципальная программа «Развитие сферы культуры Мезенского муниципального округа Архангельской области на 2023 – 2025 годы»</t>
  </si>
  <si>
    <t>Муниципальная программа «Молодёжь Мезенского муниципального округа Архангельской области на 2023 – 2025 годы»</t>
  </si>
  <si>
    <t>Муниципальная программа «Развитие физической культуры и спорта на территории Мезенского муниципального округа Архангельской области на 2023 – 2025 годы»</t>
  </si>
  <si>
    <t xml:space="preserve">Муниципальная программа «Развитие образования в Мезенском муниципальном округе Архангельской области на 2023 – 2025 годы» </t>
  </si>
  <si>
    <t>Муниципальная программа «Комплексное развитие сельских территорий Мезенского муниципального округа Архангельской области на 2023 – 2025 годы»</t>
  </si>
  <si>
    <t>Муниципальная программа «Развитие имущественно - земельных отношений в Мезенском муниципальном округе Архангельской области на 2023 – 2025 годы»</t>
  </si>
  <si>
    <t>Муниципальная программа «Экономическое развитие и инвестиционная деятельность на территории Мезенского муниципального округа Архангельской области на 2023 – 2025 годы»</t>
  </si>
  <si>
    <t>Муниципальная программа «Развитие строительства, капитальный и текущий ремонты объектов на территории Мезенского муниципального округа Архангельской области на 2023-2025 годы»</t>
  </si>
  <si>
    <t>Муниципальная программа «Защита населения и территории Мезенского муниципального округа Архангельской области от чрезвычайных ситуаций природного и техногенного характера, обеспечение пожарной безопасности и безопасности людей на водных объектах на 2023 – 2025 годы»</t>
  </si>
  <si>
    <t>Муниципальная программа «Профилактика правонарушений в Мезенском муниципальном округе Архангельской области на 2023 – 2025 годы»</t>
  </si>
  <si>
    <t>Муниципальная программа «Обеспечение экологической безопасности на территории Мезенского муниципального округа Архангельской области на 2023 - 2025 годы»</t>
  </si>
  <si>
    <t>Муниципальная программа «Профилактика безнадзорности и правонарушений несовершеннолетних на территории Мезенского муниципального округа Архангельской области на 2023 – 2025 годы»</t>
  </si>
  <si>
    <t>Муниципальная программа «Управление муниципальными финансами и муниципальным долгом Мезенского муниципального округа Архангельской области на 2023 – 2025 годы»</t>
  </si>
  <si>
    <t>Подпрограмма «Управление муниципальным долгом Мезенского муниципального округа»</t>
  </si>
  <si>
    <t>Подпрограмма «Организация и обеспечение бюджетного процесса в Мезенском муниципальном округе»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</si>
  <si>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(для муниципальных общеобразовательных организаций)</t>
  </si>
  <si>
    <t>S6450</t>
  </si>
  <si>
    <t>Софинансирование выплаты выходных пособий и сохранения среднего месячного заработка на период трудоустройства в связи с ликвидацией органов местного самоуправления вследствие создания муниципального округа Архангельской области</t>
  </si>
  <si>
    <t>Создание условий для обеспечения поселений и жителей муниципальных и городских округов услугами торговли</t>
  </si>
  <si>
    <t>Укрепление материально-технической базы пищеблоков и столовых муниципальных общеобразовательных организаций в Архангельской области в целях создания условий для организации горячего питания обучающихся, получающих начальное общее образование</t>
  </si>
  <si>
    <t>S6820</t>
  </si>
  <si>
    <t>Комплектование книжных фондов библиотек муниципальных образований Архангельской области и подписка на периодическую печать</t>
  </si>
  <si>
    <t>Осуществление первичного воинского учета на территориях, где отсутствуют военные комиссариаты</t>
  </si>
  <si>
    <t>51180</t>
  </si>
  <si>
    <t>78630</t>
  </si>
  <si>
    <t>Мера социальной поддержки отдельным категориям лиц, замещавших муниципальные должности, в случае досрочного прекращения их полномочий в связи с созданием муниципального округа Архангельской области</t>
  </si>
  <si>
    <t xml:space="preserve">Развитие территориального общественного самоуправления Архангельской области </t>
  </si>
  <si>
    <t>S8420</t>
  </si>
  <si>
    <t>Муниципальная программа «Развитие территориального общественного самоуправления в Мезенском муниципальном округе Архангельской области на 2023 – 2025 годы»</t>
  </si>
  <si>
    <t>78160</t>
  </si>
  <si>
    <t>Реализация мероприятий по социально-экономическому развитию муниципальных округов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</si>
  <si>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</si>
  <si>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Подпрограмма «Развитие туристского культурно-музейного центра «Кимжа»</t>
  </si>
  <si>
    <t>Мероприятия в области туризма</t>
  </si>
  <si>
    <t>19</t>
  </si>
  <si>
    <t>20200</t>
  </si>
  <si>
    <t>Муниципальная программа «Развитие гражданского общества и поддержка социально ориентированных некоммерческих организаций Мезенского муниципального округа Архангельской области на 2023 – 2025 годы»</t>
  </si>
  <si>
    <t>17</t>
  </si>
  <si>
    <t>L4970</t>
  </si>
  <si>
    <t>Муниципальная программа «Обеспечение жильём молодых семей Мезенского муниципального округа Архангельской области на 2023 – 2025 годы»</t>
  </si>
  <si>
    <t>Реализация мероприятий по обеспечению жильем молодых семей</t>
  </si>
  <si>
    <t>20090</t>
  </si>
  <si>
    <t>Паспортизация, инвентаризация и оценка технического состояния муниципального имущества</t>
  </si>
  <si>
    <t>Выполнение кадастровых работ</t>
  </si>
  <si>
    <t>Взносы на капитальный ремонт многоквартирных домов,  находящихся в муниципальной собственности</t>
  </si>
  <si>
    <t>20080</t>
  </si>
  <si>
    <t>Председатель представительного органа муниципального округа</t>
  </si>
  <si>
    <t>Расходы на обеспечение деятельности представительного органа муниципального округа</t>
  </si>
  <si>
    <t>Глава муниципального округа</t>
  </si>
  <si>
    <t>S8220</t>
  </si>
  <si>
    <t>Резервный фонд администрации Мезенского муниципального округа</t>
  </si>
  <si>
    <t>20800</t>
  </si>
  <si>
    <t>Создание резерва материальных ресурсов, приобретение имущества для предупреждения и ликвидации чрезвычайных ситуации и их последствий</t>
  </si>
  <si>
    <t>20820</t>
  </si>
  <si>
    <t>Осуществление мероприятий по обеспечению пожарной безопасности</t>
  </si>
  <si>
    <t>Обеспечение жизнедеятельности населения, предупреждение и ликвидация чрезвычайных ситуаций и стихийных бедствий</t>
  </si>
  <si>
    <t>20840</t>
  </si>
  <si>
    <t>Обеспечение безопасности людей на водных объектах</t>
  </si>
  <si>
    <t>Мероприятия в сфере профилактики правонарушений</t>
  </si>
  <si>
    <t>21700</t>
  </si>
  <si>
    <t>Муниципальная программа «Противодействие экстремизму и профилактика терроризма на территории Мезенского муниципального округа Архангельской области на 2023-2025 годы»</t>
  </si>
  <si>
    <t>Информирование жителей муниципального округа по вопросам противодействия терроризму и экстремизму</t>
  </si>
  <si>
    <t>Организация и проведение сельскохозяйственной ярмарки</t>
  </si>
  <si>
    <t>20260</t>
  </si>
  <si>
    <t xml:space="preserve">Обеспечение деятельности МАУ </t>
  </si>
  <si>
    <t>23080</t>
  </si>
  <si>
    <t>23040</t>
  </si>
  <si>
    <t xml:space="preserve">Организация мероприятий по содержанию и текущему ремонту автомобильных дорог местного значения для обеспечения качественного проезда и безопасности движения транспортных средств   </t>
  </si>
  <si>
    <t>Строительство, реконструкция, капитальный ремонт, ремонт и содержание автомобильных дорог находящихся в собственности муниципального округа за счет муниципального дорожного фонда</t>
  </si>
  <si>
    <t>Создание условий для обеспечения товарами первой необходимости жителей труднодоступных и малонаселенных пунктов</t>
  </si>
  <si>
    <t>20340</t>
  </si>
  <si>
    <t>Выполнение работ по производству инженерно-геодезических и инженерго-геологических изысканий</t>
  </si>
  <si>
    <t>21590</t>
  </si>
  <si>
    <t>Улучшение жилищных условий для привлечения молодых специалистов</t>
  </si>
  <si>
    <t>Развитие системы обращения ЖБО</t>
  </si>
  <si>
    <t>21</t>
  </si>
  <si>
    <t>20270</t>
  </si>
  <si>
    <t>Мероприятия в области коммунального хозяйства</t>
  </si>
  <si>
    <t>20330</t>
  </si>
  <si>
    <t>20310</t>
  </si>
  <si>
    <t>Организация ритуальных услуг и содержание мест захоронения</t>
  </si>
  <si>
    <t>22</t>
  </si>
  <si>
    <t>L5550</t>
  </si>
  <si>
    <t>Муниципальная программа «Формирование современной городской среды в Мезенском муниципальном округе Архангельской области на 2023 – 2025 годы»</t>
  </si>
  <si>
    <t>Поддержка государственных программ субъектов Российской Федерации и муниципальных программ формирования современной городской среды</t>
  </si>
  <si>
    <t xml:space="preserve">Мероприятия по благоустройству на территории муниципального округа </t>
  </si>
  <si>
    <t>Мероприятия по поддержке социально ориентированных некоммерческих организаций</t>
  </si>
  <si>
    <t>Содержание муниципального имущества</t>
  </si>
  <si>
    <t>20420</t>
  </si>
  <si>
    <t>Мероприятия по ликвидации мест несанкционированного размещения отходов</t>
  </si>
  <si>
    <t>20410</t>
  </si>
  <si>
    <t>Мероприятия по рекультивациии земельных участков на территории муниципального округа</t>
  </si>
  <si>
    <t xml:space="preserve">Создание условий для предоставления транспортных услуг и организация транспортного обслуживания населения водным транспортом в границах  муниципального округа </t>
  </si>
  <si>
    <t>Создание условий для предоставления транспортных услуг и организация транспортного обслуживания населения автомобильным транспортом в границах  муниципального округа</t>
  </si>
  <si>
    <t xml:space="preserve">Обеспечение населения качественной питьевой водой </t>
  </si>
  <si>
    <t xml:space="preserve">Капитальный и текущий ремонты в муниципальных учреждениях, модернизация и приобретение основных средств </t>
  </si>
  <si>
    <t>Мероприятия в области культуры</t>
  </si>
  <si>
    <t>Обеспечение деятельности Домов культуры</t>
  </si>
  <si>
    <t>Создание и приобретение справочных и иных материалов</t>
  </si>
  <si>
    <t>Возмещение расходов по предоставлению мер социальной поддержки отдельных категорий квалифицированных специалистов, работающих и проживающих в сельской местности</t>
  </si>
  <si>
    <t>Проведение спортивных мероприятий</t>
  </si>
  <si>
    <t>20440</t>
  </si>
  <si>
    <t>Содержание мест (площадок) для ТКО</t>
  </si>
  <si>
    <t>Обеспечение комплексного развития сельских территорий</t>
  </si>
  <si>
    <t>L5760</t>
  </si>
  <si>
    <t>22240</t>
  </si>
  <si>
    <t>Организация и проведение соревнований конников на лошадях мезенской породы</t>
  </si>
  <si>
    <t>Условно утверждаемые расходы</t>
  </si>
  <si>
    <t>УСЛОВНО УТВЕРЖДАЕМЫЕ РАСХОДЫ</t>
  </si>
  <si>
    <t>Приложение № 3</t>
  </si>
  <si>
    <t>Ведомственная структура расходов бюджета муниципального округа на 2023 год и на плановый период 2024 и 2025 годов</t>
  </si>
  <si>
    <t>Муниципальная программа «Развитие здравоохранения Мезенского муниципального округа Архангельской области на 2023 – 2025 годы»</t>
  </si>
  <si>
    <t>Реализация образовательных программ (кроме персонифицированного финансирования)</t>
  </si>
  <si>
    <t>Реализация образовательных программ (в рамках персонифицированного финансирования)</t>
  </si>
  <si>
    <t>Муниципальная программа «Развитие транспортной системы и дорожного хозяйства в Мезенском муниципальном округе Архангельской области на 2023-2025 годы»</t>
  </si>
  <si>
    <t>Осуществление государственных полномочий по финансовому обеспечению оплаты стоимости питания детей в организациях отдыха детей и их оздоровления с дневным пребыванием детей в каникулярное время</t>
  </si>
  <si>
    <t>Сумма, рублей</t>
  </si>
  <si>
    <t>Расходы связанные с реализацией Положения о звании "Почетный гражданин Мезенского района"</t>
  </si>
  <si>
    <t>Расходы связанные с реализацией Положения о нагрудном знаке "За заслуги перед Мезенским районом"</t>
  </si>
  <si>
    <t>Мезенского муниципального округа</t>
  </si>
  <si>
    <t>029</t>
  </si>
  <si>
    <t>031</t>
  </si>
  <si>
    <t>030</t>
  </si>
  <si>
    <t>УПРАВЛЕНИЕ КУЛЬТУРЫ, СПОРТА, ТУРИЗМА И МОЛОДЕЖНОЙ ПОЛИТИКИ АДМИНИСТРАЦИИ МЕЗЕНСКОГО МУНИЦИПАЛЬНОГО ОКРУГА АРХАНГЕЛЬСКОЙ ОБЛАСТИ</t>
  </si>
  <si>
    <t>УПРАВЛЕНИЕ ОБРАЗОВАНИЯ АДМИНИСТРАЦИИ МЕЗЕНСКОГО МУНИЦИПАЛЬНОГО ОКРУГА АРХАНГЕЛЬСКОЙ ОБЛАСТИ</t>
  </si>
  <si>
    <t>КОМИТЕТ ПО УПРАВЛЕНИЮ МУНИЦИПАЛЬНЫМ ИМУЩЕСТВОМ АДМИНИСТРАЦИИ МЕЗЕНСКОГО МУНИЦИПАЛЬНОГО ОКРУГА АРХАНГНЛЬСКОЙ ОБЛАСТИ</t>
  </si>
  <si>
    <t>ФИНАНСОВОЕ УПРАВЛЕНИЕ АДМИНИСТРАЦИИ МЕЗЕНСКОГО МУНИЦИПАЛЬНОГО ОКРУГА АРХАНГЕЛЬСКОЙ ОБЛАСТИ</t>
  </si>
  <si>
    <t xml:space="preserve"> АДМИНИСТРАЦИЯ МЕЗЕНСКОГО МУНИЦИПАЛЬНОГО ОКРУГА АРХАНГЕЛЬСКОЙ ОБЛАСТИ</t>
  </si>
  <si>
    <t>СОБРАНИЕ ДЕПУТАТОВ МЕЗЕНСКОГО МУНИЦИПАЛЬНОГО ОКРУГА АРХАНГЕЛЬСКОЙ ОБЛАСТИ</t>
  </si>
  <si>
    <t>КОНТРОЛЬНО - СЧЕТНАЯ КОМИССИЯ МЕЗЕНСКОГО МУНИЦИПАЛЬНОГО ОКРУГА АРХАНГЕЛЬСКОЙ ОБЛАСТИ</t>
  </si>
  <si>
    <t>от 15  декабря 2022 года № 42</t>
  </si>
  <si>
    <t>от 15   декабря 2022 года № 42</t>
  </si>
  <si>
    <t>Предлагаемы поправки (+ увеличение, - уменьшение)</t>
  </si>
  <si>
    <t>"Приложение № 4</t>
  </si>
  <si>
    <t>"</t>
  </si>
  <si>
    <t>"Приложение № 3</t>
  </si>
  <si>
    <t>Распределение бюджетных ассигнований по разделам и подразделам классификации расходов бюджетов на 2023 год и на плановый период 2024 и 2025 годов</t>
  </si>
  <si>
    <t>76800</t>
  </si>
  <si>
    <t>Организация транспортного обслуживания населения на пассажирских муниципальных маршрутах водного транспорта</t>
  </si>
  <si>
    <t>A2</t>
  </si>
  <si>
    <t>55196</t>
  </si>
  <si>
    <t>Государственная поддержка лучших сельских учреждений культуры</t>
  </si>
  <si>
    <t>74900</t>
  </si>
  <si>
    <t>Подпрограмма «Социальное строительство»</t>
  </si>
  <si>
    <t>Оснащение объектов строительства сферы образования муниципальных образований Архангельской области</t>
  </si>
  <si>
    <t>74660</t>
  </si>
  <si>
    <t>Обеспечение мероприятий по организации предоставления дополнительных мер социальной поддержки семьям военнослужащих, сотрудников некоторых федеральных органов исполнительной власти и федеральных государственных органов, в которых федеральным законом предусмотрена военная служба, сотрудников органов внутренних дел Российской Федерации, принимающих участие в специальной военной операции, сотрудников уголовно-исполнительной системы Российской Федерации, выполняющих возложенные на них задачи в период проведения специальной военной операции, а также граждан, призванных на военную службу по мобилизации, в том числе погибших (умерших) при исполнении обязанностей военной службы (службы), в виде бесплатного горячего питания обучающихся по образовательным программам основного общего и среднего общего образования в муниципальных общеобразовательных организациях и бесплатного присмотра и ухода за детьми, посещающими муниципальные образовательные организации, реализующие программы дошкольного образования, в виде оплаты расходов образовательной организации, связанных с организацией питания и приобретением расходных материалов, используемых для обеспечения соблюдения воспитанниками режима дня и личной гигиены</t>
  </si>
  <si>
    <t>F2</t>
  </si>
  <si>
    <t>55550</t>
  </si>
  <si>
    <t>Реализация программ формирование современной городской среды</t>
  </si>
  <si>
    <t>20230</t>
  </si>
  <si>
    <t>20250</t>
  </si>
  <si>
    <t xml:space="preserve">Резервные средства на оплату коммунальных услуг </t>
  </si>
  <si>
    <t xml:space="preserve">Резервные средства на повышение оплаты труда не ниже МРОТ работникам органов местного самоуправления и муниципальных учреждений </t>
  </si>
  <si>
    <t>от  09 февраля 2023 года № 87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</si>
</sst>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#,##0.00_ ;[Red]\-#,##0.00\ "/>
  </numFmts>
  <fonts count="26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 Cyr"/>
      <family val="2"/>
      <charset val="204"/>
    </font>
    <font>
      <sz val="12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"/>
      <family val="2"/>
      <charset val="204"/>
    </font>
    <font>
      <sz val="7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2"/>
      <name val="Arial Cyr"/>
      <family val="2"/>
      <charset val="204"/>
    </font>
    <font>
      <b/>
      <sz val="12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 Cyr"/>
      <charset val="204"/>
    </font>
    <font>
      <b/>
      <sz val="12"/>
      <name val="Arial Сur"/>
      <charset val="204"/>
    </font>
    <font>
      <sz val="12"/>
      <name val="Arial Сur"/>
      <charset val="204"/>
    </font>
    <font>
      <b/>
      <sz val="10"/>
      <name val="Arial Сur"/>
      <charset val="204"/>
    </font>
    <font>
      <sz val="10"/>
      <name val="Arial Сur"/>
      <charset val="204"/>
    </font>
    <font>
      <sz val="10"/>
      <name val="Arial Cyr"/>
      <charset val="204"/>
    </font>
    <font>
      <sz val="12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5">
    <xf numFmtId="0" fontId="0" fillId="0" borderId="0" xfId="0"/>
    <xf numFmtId="49" fontId="3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vertical="center" wrapText="1"/>
    </xf>
    <xf numFmtId="49" fontId="3" fillId="0" borderId="6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0" fillId="0" borderId="7" xfId="0" applyBorder="1"/>
    <xf numFmtId="0" fontId="0" fillId="0" borderId="8" xfId="0" applyBorder="1"/>
    <xf numFmtId="164" fontId="0" fillId="0" borderId="0" xfId="0" applyNumberForma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49" fontId="3" fillId="0" borderId="12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/>
    <xf numFmtId="0" fontId="2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10" fillId="2" borderId="16" xfId="0" applyFont="1" applyFill="1" applyBorder="1" applyAlignment="1">
      <alignment wrapText="1"/>
    </xf>
    <xf numFmtId="0" fontId="0" fillId="2" borderId="17" xfId="0" applyFill="1" applyBorder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 wrapText="1"/>
    </xf>
    <xf numFmtId="49" fontId="3" fillId="0" borderId="15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1" fillId="0" borderId="0" xfId="0" applyFont="1"/>
    <xf numFmtId="0" fontId="0" fillId="0" borderId="0" xfId="0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7" xfId="0" applyFont="1" applyBorder="1"/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2" xfId="0" applyFont="1" applyBorder="1"/>
    <xf numFmtId="49" fontId="8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/>
    </xf>
    <xf numFmtId="0" fontId="2" fillId="0" borderId="11" xfId="0" applyFont="1" applyBorder="1" applyAlignment="1">
      <alignment horizontal="left" vertical="center" wrapText="1"/>
    </xf>
    <xf numFmtId="0" fontId="10" fillId="0" borderId="2" xfId="0" applyFont="1" applyBorder="1"/>
    <xf numFmtId="0" fontId="0" fillId="0" borderId="0" xfId="0" applyAlignment="1">
      <alignment horizontal="right" vertical="center"/>
    </xf>
    <xf numFmtId="2" fontId="0" fillId="0" borderId="0" xfId="0" applyNumberFormat="1"/>
    <xf numFmtId="49" fontId="15" fillId="0" borderId="1" xfId="0" applyNumberFormat="1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left" vertic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10" xfId="0" applyFont="1" applyBorder="1"/>
    <xf numFmtId="0" fontId="17" fillId="0" borderId="23" xfId="0" applyFont="1" applyBorder="1"/>
    <xf numFmtId="0" fontId="18" fillId="0" borderId="23" xfId="0" applyFont="1" applyBorder="1"/>
    <xf numFmtId="0" fontId="3" fillId="0" borderId="16" xfId="0" applyFont="1" applyBorder="1" applyAlignment="1">
      <alignment horizontal="left" vertical="center" wrapText="1"/>
    </xf>
    <xf numFmtId="49" fontId="3" fillId="0" borderId="24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justify" wrapText="1"/>
    </xf>
    <xf numFmtId="0" fontId="6" fillId="0" borderId="27" xfId="0" applyFont="1" applyBorder="1" applyAlignment="1">
      <alignment wrapText="1"/>
    </xf>
    <xf numFmtId="0" fontId="6" fillId="0" borderId="27" xfId="0" applyFont="1" applyBorder="1"/>
    <xf numFmtId="49" fontId="7" fillId="0" borderId="5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vertical="center" wrapText="1"/>
    </xf>
    <xf numFmtId="4" fontId="0" fillId="0" borderId="28" xfId="0" applyNumberFormat="1" applyBorder="1" applyAlignment="1">
      <alignment horizontal="right" vertical="center"/>
    </xf>
    <xf numFmtId="4" fontId="0" fillId="0" borderId="0" xfId="0" applyNumberFormat="1" applyAlignment="1">
      <alignment horizontal="center" vertical="center"/>
    </xf>
    <xf numFmtId="165" fontId="0" fillId="0" borderId="28" xfId="0" applyNumberFormat="1" applyBorder="1" applyAlignment="1">
      <alignment horizontal="right" vertical="center"/>
    </xf>
    <xf numFmtId="4" fontId="0" fillId="0" borderId="9" xfId="0" applyNumberFormat="1" applyBorder="1" applyAlignment="1">
      <alignment horizontal="center" vertical="center"/>
    </xf>
    <xf numFmtId="0" fontId="15" fillId="0" borderId="0" xfId="0" applyFont="1"/>
    <xf numFmtId="165" fontId="17" fillId="0" borderId="10" xfId="0" applyNumberFormat="1" applyFont="1" applyBorder="1" applyAlignment="1">
      <alignment horizontal="right" vertical="center"/>
    </xf>
    <xf numFmtId="165" fontId="10" fillId="0" borderId="28" xfId="0" applyNumberFormat="1" applyFont="1" applyBorder="1" applyAlignment="1">
      <alignment horizontal="right" vertical="center"/>
    </xf>
    <xf numFmtId="165" fontId="0" fillId="0" borderId="29" xfId="0" applyNumberFormat="1" applyBorder="1" applyAlignment="1">
      <alignment horizontal="right" vertical="center"/>
    </xf>
    <xf numFmtId="0" fontId="6" fillId="0" borderId="27" xfId="0" applyFont="1" applyBorder="1" applyAlignment="1">
      <alignment horizontal="left" vertical="center" wrapText="1"/>
    </xf>
    <xf numFmtId="0" fontId="0" fillId="2" borderId="1" xfId="0" applyFill="1" applyBorder="1"/>
    <xf numFmtId="165" fontId="1" fillId="0" borderId="28" xfId="0" applyNumberFormat="1" applyFont="1" applyBorder="1" applyAlignment="1">
      <alignment horizontal="right" vertical="center"/>
    </xf>
    <xf numFmtId="49" fontId="15" fillId="0" borderId="6" xfId="0" applyNumberFormat="1" applyFont="1" applyBorder="1" applyAlignment="1">
      <alignment horizontal="center" vertical="center"/>
    </xf>
    <xf numFmtId="49" fontId="19" fillId="0" borderId="2" xfId="0" applyNumberFormat="1" applyFont="1" applyBorder="1" applyAlignment="1">
      <alignment horizontal="left" vertical="center" wrapText="1"/>
    </xf>
    <xf numFmtId="49" fontId="19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20" fillId="0" borderId="6" xfId="0" applyNumberFormat="1" applyFont="1" applyBorder="1" applyAlignment="1">
      <alignment horizontal="center" vertical="center"/>
    </xf>
    <xf numFmtId="49" fontId="21" fillId="0" borderId="26" xfId="0" applyNumberFormat="1" applyFont="1" applyBorder="1" applyAlignment="1">
      <alignment horizontal="left" vertical="center" wrapText="1"/>
    </xf>
    <xf numFmtId="49" fontId="21" fillId="0" borderId="1" xfId="0" applyNumberFormat="1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49" fontId="22" fillId="0" borderId="6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 wrapText="1"/>
    </xf>
    <xf numFmtId="49" fontId="1" fillId="0" borderId="17" xfId="0" applyNumberFormat="1" applyFont="1" applyBorder="1" applyAlignment="1">
      <alignment horizontal="center" vertical="center"/>
    </xf>
    <xf numFmtId="49" fontId="1" fillId="0" borderId="25" xfId="0" applyNumberFormat="1" applyFont="1" applyBorder="1" applyAlignment="1">
      <alignment horizontal="center" vertical="center"/>
    </xf>
    <xf numFmtId="0" fontId="1" fillId="0" borderId="8" xfId="0" applyFont="1" applyBorder="1"/>
    <xf numFmtId="0" fontId="15" fillId="2" borderId="1" xfId="0" applyFont="1" applyFill="1" applyBorder="1"/>
    <xf numFmtId="0" fontId="23" fillId="0" borderId="0" xfId="0" applyFont="1"/>
    <xf numFmtId="4" fontId="11" fillId="2" borderId="28" xfId="0" applyNumberFormat="1" applyFont="1" applyFill="1" applyBorder="1" applyAlignment="1">
      <alignment horizontal="right" vertical="center"/>
    </xf>
    <xf numFmtId="4" fontId="11" fillId="0" borderId="28" xfId="0" applyNumberFormat="1" applyFont="1" applyBorder="1" applyAlignment="1">
      <alignment horizontal="right" vertical="center"/>
    </xf>
    <xf numFmtId="4" fontId="10" fillId="0" borderId="28" xfId="0" applyNumberFormat="1" applyFont="1" applyBorder="1" applyAlignment="1">
      <alignment horizontal="right" vertical="center"/>
    </xf>
    <xf numFmtId="4" fontId="1" fillId="0" borderId="28" xfId="0" applyNumberFormat="1" applyFont="1" applyBorder="1" applyAlignment="1">
      <alignment horizontal="right" vertical="center"/>
    </xf>
    <xf numFmtId="4" fontId="0" fillId="0" borderId="31" xfId="0" applyNumberFormat="1" applyBorder="1" applyAlignment="1">
      <alignment horizontal="right" vertical="center"/>
    </xf>
    <xf numFmtId="4" fontId="19" fillId="0" borderId="28" xfId="0" applyNumberFormat="1" applyFont="1" applyBorder="1" applyAlignment="1">
      <alignment horizontal="right" vertical="center"/>
    </xf>
    <xf numFmtId="4" fontId="15" fillId="0" borderId="28" xfId="0" applyNumberFormat="1" applyFont="1" applyBorder="1" applyAlignment="1">
      <alignment horizontal="right" vertical="center"/>
    </xf>
    <xf numFmtId="4" fontId="1" fillId="0" borderId="31" xfId="0" applyNumberFormat="1" applyFont="1" applyBorder="1" applyAlignment="1">
      <alignment horizontal="right" vertical="center"/>
    </xf>
    <xf numFmtId="4" fontId="11" fillId="2" borderId="31" xfId="0" applyNumberFormat="1" applyFont="1" applyFill="1" applyBorder="1" applyAlignment="1">
      <alignment horizontal="right" vertical="center"/>
    </xf>
    <xf numFmtId="4" fontId="17" fillId="0" borderId="10" xfId="0" applyNumberFormat="1" applyFont="1" applyBorder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4" fontId="21" fillId="0" borderId="28" xfId="0" applyNumberFormat="1" applyFont="1" applyBorder="1" applyAlignment="1">
      <alignment horizontal="right" vertical="center"/>
    </xf>
    <xf numFmtId="4" fontId="0" fillId="0" borderId="32" xfId="0" applyNumberFormat="1" applyBorder="1" applyAlignment="1">
      <alignment horizontal="right" vertical="center"/>
    </xf>
    <xf numFmtId="0" fontId="6" fillId="0" borderId="16" xfId="0" applyFont="1" applyBorder="1" applyAlignment="1">
      <alignment vertical="center" wrapText="1"/>
    </xf>
    <xf numFmtId="0" fontId="0" fillId="0" borderId="2" xfId="0" applyBorder="1" applyAlignment="1">
      <alignment horizontal="left" vertical="justify" wrapText="1"/>
    </xf>
    <xf numFmtId="4" fontId="6" fillId="0" borderId="0" xfId="0" applyNumberFormat="1" applyFont="1" applyAlignment="1">
      <alignment horizontal="right"/>
    </xf>
    <xf numFmtId="0" fontId="0" fillId="0" borderId="2" xfId="0" applyBorder="1"/>
    <xf numFmtId="0" fontId="6" fillId="0" borderId="2" xfId="0" applyFont="1" applyBorder="1" applyAlignment="1">
      <alignment wrapText="1"/>
    </xf>
    <xf numFmtId="49" fontId="5" fillId="0" borderId="15" xfId="0" applyNumberFormat="1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15" fillId="0" borderId="15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0" fillId="2" borderId="30" xfId="0" applyFill="1" applyBorder="1"/>
    <xf numFmtId="49" fontId="0" fillId="0" borderId="17" xfId="0" applyNumberFormat="1" applyBorder="1" applyAlignment="1">
      <alignment horizontal="center" vertical="center"/>
    </xf>
    <xf numFmtId="0" fontId="6" fillId="0" borderId="27" xfId="0" applyFont="1" applyBorder="1" applyAlignment="1">
      <alignment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10" fillId="0" borderId="0" xfId="0" applyFont="1"/>
    <xf numFmtId="49" fontId="22" fillId="0" borderId="26" xfId="0" applyNumberFormat="1" applyFont="1" applyBorder="1" applyAlignment="1">
      <alignment horizontal="left" vertical="center" wrapText="1"/>
    </xf>
    <xf numFmtId="4" fontId="22" fillId="0" borderId="28" xfId="0" applyNumberFormat="1" applyFont="1" applyBorder="1" applyAlignment="1">
      <alignment horizontal="right" vertical="center"/>
    </xf>
    <xf numFmtId="49" fontId="21" fillId="0" borderId="6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left" vertical="center" wrapText="1"/>
    </xf>
    <xf numFmtId="4" fontId="15" fillId="0" borderId="31" xfId="0" applyNumberFormat="1" applyFont="1" applyBorder="1" applyAlignment="1">
      <alignment horizontal="right" vertical="center"/>
    </xf>
    <xf numFmtId="0" fontId="0" fillId="0" borderId="2" xfId="0" applyBorder="1" applyAlignment="1">
      <alignment wrapText="1"/>
    </xf>
    <xf numFmtId="0" fontId="3" fillId="0" borderId="27" xfId="0" applyFont="1" applyBorder="1" applyAlignment="1">
      <alignment horizontal="left" vertical="center" wrapText="1"/>
    </xf>
    <xf numFmtId="49" fontId="12" fillId="0" borderId="24" xfId="0" applyNumberFormat="1" applyFont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49" fontId="12" fillId="0" borderId="25" xfId="0" applyNumberFormat="1" applyFont="1" applyBorder="1" applyAlignment="1">
      <alignment horizontal="center" vertical="center"/>
    </xf>
    <xf numFmtId="4" fontId="12" fillId="0" borderId="31" xfId="0" applyNumberFormat="1" applyFont="1" applyBorder="1" applyAlignment="1">
      <alignment horizontal="right" vertical="center"/>
    </xf>
    <xf numFmtId="0" fontId="9" fillId="3" borderId="16" xfId="0" applyFont="1" applyFill="1" applyBorder="1" applyAlignment="1">
      <alignment horizontal="left" vertical="center" wrapText="1"/>
    </xf>
    <xf numFmtId="49" fontId="12" fillId="3" borderId="24" xfId="0" applyNumberFormat="1" applyFont="1" applyFill="1" applyBorder="1" applyAlignment="1">
      <alignment horizontal="center" vertical="center"/>
    </xf>
    <xf numFmtId="49" fontId="12" fillId="3" borderId="17" xfId="0" applyNumberFormat="1" applyFont="1" applyFill="1" applyBorder="1" applyAlignment="1">
      <alignment horizontal="center" vertical="center"/>
    </xf>
    <xf numFmtId="4" fontId="12" fillId="3" borderId="31" xfId="0" applyNumberFormat="1" applyFont="1" applyFill="1" applyBorder="1" applyAlignment="1">
      <alignment horizontal="right" vertical="center"/>
    </xf>
    <xf numFmtId="0" fontId="24" fillId="0" borderId="0" xfId="0" applyFont="1"/>
    <xf numFmtId="4" fontId="7" fillId="0" borderId="33" xfId="0" applyNumberFormat="1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1" fontId="7" fillId="0" borderId="33" xfId="0" applyNumberFormat="1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0" fillId="0" borderId="16" xfId="0" applyBorder="1" applyAlignment="1">
      <alignment horizontal="left" vertical="justify" wrapText="1"/>
    </xf>
    <xf numFmtId="49" fontId="0" fillId="0" borderId="24" xfId="0" applyNumberFormat="1" applyBorder="1" applyAlignment="1">
      <alignment horizontal="center" vertical="center"/>
    </xf>
    <xf numFmtId="49" fontId="13" fillId="0" borderId="2" xfId="0" applyNumberFormat="1" applyFont="1" applyBorder="1" applyAlignment="1">
      <alignment horizontal="left" vertical="center" wrapText="1"/>
    </xf>
    <xf numFmtId="49" fontId="12" fillId="3" borderId="1" xfId="0" applyNumberFormat="1" applyFont="1" applyFill="1" applyBorder="1" applyAlignment="1">
      <alignment horizontal="center" vertical="center"/>
    </xf>
    <xf numFmtId="49" fontId="12" fillId="3" borderId="30" xfId="0" applyNumberFormat="1" applyFont="1" applyFill="1" applyBorder="1" applyAlignment="1">
      <alignment horizontal="center" vertical="center"/>
    </xf>
    <xf numFmtId="49" fontId="13" fillId="0" borderId="15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4" fontId="13" fillId="0" borderId="28" xfId="0" applyNumberFormat="1" applyFont="1" applyBorder="1" applyAlignment="1">
      <alignment horizontal="right" vertical="center"/>
    </xf>
    <xf numFmtId="0" fontId="13" fillId="0" borderId="0" xfId="0" applyFont="1"/>
    <xf numFmtId="49" fontId="6" fillId="0" borderId="15" xfId="0" applyNumberFormat="1" applyFont="1" applyBorder="1" applyAlignment="1">
      <alignment horizontal="center" vertical="center"/>
    </xf>
    <xf numFmtId="4" fontId="6" fillId="0" borderId="28" xfId="0" applyNumberFormat="1" applyFont="1" applyBorder="1" applyAlignment="1">
      <alignment horizontal="right" vertical="center"/>
    </xf>
    <xf numFmtId="0" fontId="6" fillId="0" borderId="0" xfId="0" applyFont="1"/>
    <xf numFmtId="49" fontId="8" fillId="0" borderId="15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right" vertical="center"/>
    </xf>
    <xf numFmtId="0" fontId="8" fillId="0" borderId="0" xfId="0" applyFont="1"/>
    <xf numFmtId="0" fontId="9" fillId="3" borderId="27" xfId="0" applyFont="1" applyFill="1" applyBorder="1" applyAlignment="1">
      <alignment horizontal="left" vertical="center" wrapText="1"/>
    </xf>
    <xf numFmtId="49" fontId="5" fillId="3" borderId="12" xfId="0" applyNumberFormat="1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/>
    </xf>
    <xf numFmtId="4" fontId="10" fillId="3" borderId="28" xfId="0" applyNumberFormat="1" applyFont="1" applyFill="1" applyBorder="1" applyAlignment="1">
      <alignment horizontal="right" vertical="center"/>
    </xf>
    <xf numFmtId="0" fontId="0" fillId="0" borderId="2" xfId="0" applyBorder="1" applyAlignment="1">
      <alignment horizontal="left"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/>
    <xf numFmtId="0" fontId="18" fillId="0" borderId="0" xfId="0" applyFont="1"/>
    <xf numFmtId="4" fontId="17" fillId="0" borderId="0" xfId="0" applyNumberFormat="1" applyFont="1" applyAlignment="1">
      <alignment horizontal="right" vertical="center"/>
    </xf>
    <xf numFmtId="0" fontId="9" fillId="0" borderId="45" xfId="0" applyFont="1" applyBorder="1" applyAlignment="1">
      <alignment horizontal="left" vertical="center" wrapText="1"/>
    </xf>
    <xf numFmtId="49" fontId="10" fillId="0" borderId="44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65" fontId="10" fillId="0" borderId="32" xfId="0" applyNumberFormat="1" applyFont="1" applyBorder="1" applyAlignment="1">
      <alignment horizontal="right" vertical="center"/>
    </xf>
    <xf numFmtId="49" fontId="1" fillId="0" borderId="12" xfId="0" applyNumberFormat="1" applyFont="1" applyBorder="1" applyAlignment="1">
      <alignment horizontal="center" vertical="center"/>
    </xf>
    <xf numFmtId="0" fontId="10" fillId="2" borderId="2" xfId="0" applyFont="1" applyFill="1" applyBorder="1" applyAlignment="1">
      <alignment wrapText="1"/>
    </xf>
    <xf numFmtId="49" fontId="3" fillId="0" borderId="30" xfId="0" applyNumberFormat="1" applyFont="1" applyBorder="1" applyAlignment="1">
      <alignment horizontal="center" vertical="center"/>
    </xf>
    <xf numFmtId="0" fontId="9" fillId="3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0" fillId="0" borderId="9" xfId="0" applyBorder="1"/>
    <xf numFmtId="0" fontId="13" fillId="0" borderId="2" xfId="0" applyFont="1" applyBorder="1" applyAlignment="1">
      <alignment vertical="center" wrapText="1"/>
    </xf>
    <xf numFmtId="0" fontId="11" fillId="0" borderId="0" xfId="0" applyFont="1"/>
    <xf numFmtId="0" fontId="8" fillId="0" borderId="2" xfId="0" applyFont="1" applyBorder="1" applyAlignment="1">
      <alignment vertical="center" wrapText="1"/>
    </xf>
    <xf numFmtId="3" fontId="7" fillId="0" borderId="33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25" fillId="0" borderId="46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47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11" fillId="0" borderId="0" xfId="0" quotePrefix="1" applyFont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3"/>
  <sheetViews>
    <sheetView view="pageBreakPreview" zoomScale="80" zoomScaleNormal="100" zoomScaleSheetLayoutView="80" workbookViewId="0">
      <selection activeCell="L4" sqref="L4"/>
    </sheetView>
  </sheetViews>
  <sheetFormatPr defaultColWidth="9.140625" defaultRowHeight="12.75"/>
  <cols>
    <col min="1" max="1" width="72.140625" style="51" customWidth="1"/>
    <col min="2" max="2" width="6.42578125" style="52" customWidth="1"/>
    <col min="3" max="3" width="5.28515625" style="52" customWidth="1"/>
    <col min="4" max="4" width="18.7109375" style="22" hidden="1" customWidth="1"/>
    <col min="5" max="5" width="19.42578125" hidden="1" customWidth="1"/>
    <col min="6" max="6" width="17.42578125" hidden="1" customWidth="1"/>
    <col min="7" max="7" width="18.140625" hidden="1" customWidth="1"/>
    <col min="8" max="8" width="15.140625" hidden="1" customWidth="1"/>
    <col min="9" max="9" width="17.42578125" hidden="1" customWidth="1"/>
    <col min="10" max="10" width="18.7109375" customWidth="1"/>
    <col min="11" max="11" width="17.42578125" customWidth="1"/>
    <col min="12" max="12" width="18.42578125" customWidth="1"/>
    <col min="13" max="13" width="1.7109375" customWidth="1"/>
  </cols>
  <sheetData>
    <row r="1" spans="1:12">
      <c r="L1" s="193" t="s">
        <v>391</v>
      </c>
    </row>
    <row r="2" spans="1:12">
      <c r="L2" s="61" t="s">
        <v>43</v>
      </c>
    </row>
    <row r="3" spans="1:12">
      <c r="L3" s="61" t="s">
        <v>401</v>
      </c>
    </row>
    <row r="4" spans="1:12">
      <c r="L4" s="193" t="s">
        <v>436</v>
      </c>
    </row>
    <row r="6" spans="1:12">
      <c r="F6" s="64"/>
      <c r="L6" s="64" t="s">
        <v>417</v>
      </c>
    </row>
    <row r="7" spans="1:12">
      <c r="F7" s="61"/>
      <c r="L7" s="61" t="s">
        <v>43</v>
      </c>
    </row>
    <row r="8" spans="1:12">
      <c r="F8" s="61"/>
      <c r="L8" s="61" t="s">
        <v>401</v>
      </c>
    </row>
    <row r="9" spans="1:12">
      <c r="F9" s="64"/>
      <c r="L9" s="64" t="s">
        <v>412</v>
      </c>
    </row>
    <row r="10" spans="1:12">
      <c r="D10" s="64"/>
    </row>
    <row r="11" spans="1:12" ht="36.75" customHeight="1">
      <c r="A11" s="199" t="s">
        <v>418</v>
      </c>
      <c r="B11" s="199"/>
      <c r="C11" s="199"/>
      <c r="D11" s="199"/>
      <c r="E11" s="200"/>
      <c r="F11" s="200"/>
      <c r="G11" s="200"/>
      <c r="H11" s="200"/>
      <c r="I11" s="200"/>
      <c r="J11" s="200"/>
      <c r="K11" s="200"/>
      <c r="L11" s="200"/>
    </row>
    <row r="12" spans="1:12">
      <c r="F12" s="125"/>
    </row>
    <row r="13" spans="1:12" ht="43.5" customHeight="1">
      <c r="A13" s="208" t="s">
        <v>10</v>
      </c>
      <c r="B13" s="210" t="s">
        <v>11</v>
      </c>
      <c r="C13" s="212" t="s">
        <v>12</v>
      </c>
      <c r="D13" s="206" t="s">
        <v>398</v>
      </c>
      <c r="E13" s="207"/>
      <c r="F13" s="207"/>
      <c r="G13" s="201" t="s">
        <v>414</v>
      </c>
      <c r="H13" s="202"/>
      <c r="I13" s="203"/>
      <c r="J13" s="202" t="s">
        <v>398</v>
      </c>
      <c r="K13" s="204"/>
      <c r="L13" s="205"/>
    </row>
    <row r="14" spans="1:12" ht="25.5" customHeight="1">
      <c r="A14" s="209"/>
      <c r="B14" s="211"/>
      <c r="C14" s="213"/>
      <c r="D14" s="154" t="s">
        <v>276</v>
      </c>
      <c r="E14" s="154" t="s">
        <v>277</v>
      </c>
      <c r="F14" s="154" t="s">
        <v>278</v>
      </c>
      <c r="G14" s="154" t="s">
        <v>276</v>
      </c>
      <c r="H14" s="154" t="s">
        <v>277</v>
      </c>
      <c r="I14" s="154" t="s">
        <v>278</v>
      </c>
      <c r="J14" s="154" t="s">
        <v>276</v>
      </c>
      <c r="K14" s="154" t="s">
        <v>277</v>
      </c>
      <c r="L14" s="154" t="s">
        <v>278</v>
      </c>
    </row>
    <row r="15" spans="1:12" ht="11.25" customHeight="1">
      <c r="A15" s="8">
        <v>1</v>
      </c>
      <c r="B15" s="23">
        <v>2</v>
      </c>
      <c r="C15" s="53">
        <v>3</v>
      </c>
      <c r="D15" s="53">
        <v>4</v>
      </c>
      <c r="E15" s="53">
        <v>5</v>
      </c>
      <c r="F15" s="53">
        <v>6</v>
      </c>
      <c r="G15" s="53"/>
      <c r="H15" s="53"/>
      <c r="I15" s="53"/>
      <c r="J15" s="53">
        <v>4</v>
      </c>
      <c r="K15" s="53">
        <v>5</v>
      </c>
      <c r="L15" s="53">
        <v>6</v>
      </c>
    </row>
    <row r="16" spans="1:12">
      <c r="A16" s="54"/>
      <c r="B16" s="55"/>
      <c r="C16" s="56"/>
      <c r="D16" s="156"/>
      <c r="E16" s="194"/>
      <c r="G16" s="156"/>
      <c r="H16" s="194"/>
      <c r="I16" s="194"/>
      <c r="J16" s="156"/>
      <c r="K16" s="194"/>
    </row>
    <row r="17" spans="1:12">
      <c r="A17" s="4" t="s">
        <v>32</v>
      </c>
      <c r="B17" s="14" t="s">
        <v>20</v>
      </c>
      <c r="C17" s="1"/>
      <c r="D17" s="90">
        <f>SUM(D18:D25)</f>
        <v>228897189.08999997</v>
      </c>
      <c r="E17" s="90">
        <f t="shared" ref="E17:F17" si="0">SUM(E18:E25)</f>
        <v>218025159.79000002</v>
      </c>
      <c r="F17" s="90">
        <f t="shared" si="0"/>
        <v>215835049.05999997</v>
      </c>
      <c r="G17" s="90">
        <f t="shared" ref="G17:I17" si="1">SUM(G18:G25)</f>
        <v>30070438.730000004</v>
      </c>
      <c r="H17" s="90">
        <f t="shared" si="1"/>
        <v>-125879.68999999999</v>
      </c>
      <c r="I17" s="90">
        <f t="shared" si="1"/>
        <v>-519751.03</v>
      </c>
      <c r="J17" s="90">
        <f>D17+G17</f>
        <v>258967627.81999999</v>
      </c>
      <c r="K17" s="90">
        <f>E17+H17</f>
        <v>217899280.10000002</v>
      </c>
      <c r="L17" s="90">
        <f>F17+I17</f>
        <v>215315298.02999997</v>
      </c>
    </row>
    <row r="18" spans="1:12" ht="29.25" customHeight="1">
      <c r="A18" s="11" t="s">
        <v>45</v>
      </c>
      <c r="B18" s="1" t="s">
        <v>20</v>
      </c>
      <c r="C18" s="1" t="s">
        <v>17</v>
      </c>
      <c r="D18" s="86">
        <f>ведомств!J375</f>
        <v>3920905</v>
      </c>
      <c r="E18" s="86">
        <f>ведомств!K375</f>
        <v>3960114.35</v>
      </c>
      <c r="F18" s="86">
        <f>ведомств!L375</f>
        <v>3999715.49</v>
      </c>
      <c r="G18" s="86">
        <f>ведомств!M375</f>
        <v>0</v>
      </c>
      <c r="H18" s="86">
        <f>ведомств!N375</f>
        <v>0</v>
      </c>
      <c r="I18" s="86">
        <f>ведомств!O375</f>
        <v>0</v>
      </c>
      <c r="J18" s="86">
        <f t="shared" ref="J18:J81" si="2">D18+G18</f>
        <v>3920905</v>
      </c>
      <c r="K18" s="86">
        <f t="shared" ref="K18:K81" si="3">E18+H18</f>
        <v>3960114.35</v>
      </c>
      <c r="L18" s="86">
        <f t="shared" ref="L18:L81" si="4">F18+I18</f>
        <v>3999715.49</v>
      </c>
    </row>
    <row r="19" spans="1:12" ht="38.25">
      <c r="A19" s="2" t="s">
        <v>33</v>
      </c>
      <c r="B19" s="1" t="s">
        <v>20</v>
      </c>
      <c r="C19" s="1" t="s">
        <v>13</v>
      </c>
      <c r="D19" s="86">
        <f>ведомств!J731</f>
        <v>2935867</v>
      </c>
      <c r="E19" s="86">
        <f>ведомств!K731</f>
        <v>2962777.96</v>
      </c>
      <c r="F19" s="86">
        <f>ведомств!L731</f>
        <v>2989958.74</v>
      </c>
      <c r="G19" s="86">
        <f>ведомств!M731</f>
        <v>0</v>
      </c>
      <c r="H19" s="86">
        <f>ведомств!N731</f>
        <v>0</v>
      </c>
      <c r="I19" s="86">
        <f>ведомств!O731</f>
        <v>0</v>
      </c>
      <c r="J19" s="86">
        <f t="shared" si="2"/>
        <v>2935867</v>
      </c>
      <c r="K19" s="86">
        <f t="shared" si="3"/>
        <v>2962777.96</v>
      </c>
      <c r="L19" s="86">
        <f t="shared" si="4"/>
        <v>2989958.74</v>
      </c>
    </row>
    <row r="20" spans="1:12" ht="38.25">
      <c r="A20" s="11" t="s">
        <v>0</v>
      </c>
      <c r="B20" s="1" t="s">
        <v>20</v>
      </c>
      <c r="C20" s="1" t="s">
        <v>16</v>
      </c>
      <c r="D20" s="86">
        <f>ведомств!J381</f>
        <v>111104872.36999999</v>
      </c>
      <c r="E20" s="86">
        <f>ведомств!K381</f>
        <v>112545617.75</v>
      </c>
      <c r="F20" s="86">
        <f>ведомств!L381</f>
        <v>112915487.33999999</v>
      </c>
      <c r="G20" s="86">
        <f>ведомств!M381</f>
        <v>35011.340000000004</v>
      </c>
      <c r="H20" s="86">
        <f>ведомств!N381</f>
        <v>-124756.98999999999</v>
      </c>
      <c r="I20" s="86">
        <f>ведомств!O381</f>
        <v>-518547.05000000005</v>
      </c>
      <c r="J20" s="86">
        <f t="shared" si="2"/>
        <v>111139883.70999999</v>
      </c>
      <c r="K20" s="86">
        <f t="shared" si="3"/>
        <v>112420860.76000001</v>
      </c>
      <c r="L20" s="86">
        <f t="shared" si="4"/>
        <v>112396940.28999999</v>
      </c>
    </row>
    <row r="21" spans="1:12">
      <c r="A21" s="11" t="s">
        <v>191</v>
      </c>
      <c r="B21" s="1" t="s">
        <v>20</v>
      </c>
      <c r="C21" s="1" t="s">
        <v>18</v>
      </c>
      <c r="D21" s="86">
        <f>ведомств!J413</f>
        <v>2109.33</v>
      </c>
      <c r="E21" s="86">
        <f>ведомств!K413</f>
        <v>1879.4</v>
      </c>
      <c r="F21" s="86">
        <f>ведомств!L413</f>
        <v>1878.66</v>
      </c>
      <c r="G21" s="86">
        <f>ведомств!M413</f>
        <v>-1389.42</v>
      </c>
      <c r="H21" s="86">
        <f>ведомств!N413</f>
        <v>-1122.7</v>
      </c>
      <c r="I21" s="86">
        <f>ведомств!O413</f>
        <v>-1203.98</v>
      </c>
      <c r="J21" s="86">
        <f t="shared" si="2"/>
        <v>719.90999999999985</v>
      </c>
      <c r="K21" s="86">
        <f t="shared" si="3"/>
        <v>756.7</v>
      </c>
      <c r="L21" s="86">
        <f t="shared" si="4"/>
        <v>674.68000000000006</v>
      </c>
    </row>
    <row r="22" spans="1:12" ht="25.5">
      <c r="A22" s="7" t="s">
        <v>34</v>
      </c>
      <c r="B22" s="1" t="s">
        <v>20</v>
      </c>
      <c r="C22" s="1" t="s">
        <v>3</v>
      </c>
      <c r="D22" s="86">
        <f>ведомств!J744+ведомств!J346</f>
        <v>23200431</v>
      </c>
      <c r="E22" s="86">
        <f>ведомств!K744+ведомств!K346</f>
        <v>23416931.289999999</v>
      </c>
      <c r="F22" s="86">
        <f>ведомств!L744+ведомств!L346</f>
        <v>23502596.600000001</v>
      </c>
      <c r="G22" s="86">
        <f>ведомств!M744+ведомств!M346</f>
        <v>0</v>
      </c>
      <c r="H22" s="86">
        <f>ведомств!N744+ведомств!N346</f>
        <v>0</v>
      </c>
      <c r="I22" s="86">
        <f>ведомств!O744+ведомств!O346</f>
        <v>0</v>
      </c>
      <c r="J22" s="86">
        <f t="shared" si="2"/>
        <v>23200431</v>
      </c>
      <c r="K22" s="86">
        <f t="shared" si="3"/>
        <v>23416931.289999999</v>
      </c>
      <c r="L22" s="86">
        <f t="shared" si="4"/>
        <v>23502596.600000001</v>
      </c>
    </row>
    <row r="23" spans="1:12" hidden="1">
      <c r="A23" s="5" t="s">
        <v>64</v>
      </c>
      <c r="B23" s="1" t="s">
        <v>20</v>
      </c>
      <c r="C23" s="1" t="s">
        <v>2</v>
      </c>
      <c r="D23" s="86"/>
      <c r="E23" s="86"/>
      <c r="F23" s="86"/>
      <c r="G23" s="86"/>
      <c r="H23" s="86"/>
      <c r="I23" s="86"/>
      <c r="J23" s="86">
        <f t="shared" si="2"/>
        <v>0</v>
      </c>
      <c r="K23" s="86">
        <f t="shared" si="3"/>
        <v>0</v>
      </c>
      <c r="L23" s="86">
        <f t="shared" si="4"/>
        <v>0</v>
      </c>
    </row>
    <row r="24" spans="1:12">
      <c r="A24" s="2" t="s">
        <v>22</v>
      </c>
      <c r="B24" s="1" t="s">
        <v>20</v>
      </c>
      <c r="C24" s="1" t="s">
        <v>19</v>
      </c>
      <c r="D24" s="86">
        <f>ведомств!J355</f>
        <v>3382000</v>
      </c>
      <c r="E24" s="86">
        <f>ведомств!K355</f>
        <v>2000000</v>
      </c>
      <c r="F24" s="86">
        <f>ведомств!L355</f>
        <v>1500000</v>
      </c>
      <c r="G24" s="86">
        <f>ведомств!M355</f>
        <v>0</v>
      </c>
      <c r="H24" s="86">
        <f>ведомств!N355</f>
        <v>0</v>
      </c>
      <c r="I24" s="86">
        <f>ведомств!O355</f>
        <v>0</v>
      </c>
      <c r="J24" s="86">
        <f t="shared" si="2"/>
        <v>3382000</v>
      </c>
      <c r="K24" s="86">
        <f t="shared" si="3"/>
        <v>2000000</v>
      </c>
      <c r="L24" s="86">
        <f t="shared" si="4"/>
        <v>1500000</v>
      </c>
    </row>
    <row r="25" spans="1:12">
      <c r="A25" s="2" t="s">
        <v>1</v>
      </c>
      <c r="B25" s="1" t="s">
        <v>20</v>
      </c>
      <c r="C25" s="1" t="s">
        <v>49</v>
      </c>
      <c r="D25" s="86">
        <f>ведомств!J19+ведомств!J419+ведомств!J361+ведомств!J304</f>
        <v>84351004.390000001</v>
      </c>
      <c r="E25" s="86">
        <f>ведомств!K19+ведомств!K419+ведомств!K361+ведомств!K304</f>
        <v>73137839.040000007</v>
      </c>
      <c r="F25" s="86">
        <f>ведомств!L19+ведомств!L419+ведомств!L361+ведомств!L304</f>
        <v>70925412.229999989</v>
      </c>
      <c r="G25" s="86">
        <f>ведомств!M19+ведомств!M419+ведомств!M361+ведомств!M304</f>
        <v>30036816.810000002</v>
      </c>
      <c r="H25" s="86">
        <f>ведомств!N19+ведомств!N419+ведомств!N361+ведомств!N304</f>
        <v>0</v>
      </c>
      <c r="I25" s="86">
        <f>ведомств!O19+ведомств!O419+ведомств!O361+ведомств!O304</f>
        <v>0</v>
      </c>
      <c r="J25" s="86">
        <f t="shared" si="2"/>
        <v>114387821.2</v>
      </c>
      <c r="K25" s="86">
        <f t="shared" si="3"/>
        <v>73137839.040000007</v>
      </c>
      <c r="L25" s="86">
        <f t="shared" si="4"/>
        <v>70925412.229999989</v>
      </c>
    </row>
    <row r="26" spans="1:12">
      <c r="A26" s="57"/>
      <c r="B26" s="38"/>
      <c r="C26" s="38"/>
      <c r="D26" s="86"/>
      <c r="E26" s="86"/>
      <c r="F26" s="86"/>
      <c r="G26" s="86"/>
      <c r="H26" s="86"/>
      <c r="I26" s="86"/>
      <c r="J26" s="86"/>
      <c r="K26" s="86"/>
      <c r="L26" s="86"/>
    </row>
    <row r="27" spans="1:12">
      <c r="A27" s="6" t="s">
        <v>54</v>
      </c>
      <c r="B27" s="14" t="s">
        <v>17</v>
      </c>
      <c r="C27" s="1"/>
      <c r="D27" s="90">
        <f>+D28</f>
        <v>621621.58000000007</v>
      </c>
      <c r="E27" s="90">
        <f t="shared" ref="E27:I27" si="5">+E28</f>
        <v>650717.02999999991</v>
      </c>
      <c r="F27" s="90">
        <f t="shared" si="5"/>
        <v>669603.63</v>
      </c>
      <c r="G27" s="90">
        <f t="shared" si="5"/>
        <v>11605.619999999995</v>
      </c>
      <c r="H27" s="90">
        <f t="shared" si="5"/>
        <v>12144.13</v>
      </c>
      <c r="I27" s="90">
        <f t="shared" si="5"/>
        <v>17529.900000000001</v>
      </c>
      <c r="J27" s="90">
        <f t="shared" si="2"/>
        <v>633227.20000000007</v>
      </c>
      <c r="K27" s="90">
        <f t="shared" si="3"/>
        <v>662861.15999999992</v>
      </c>
      <c r="L27" s="90">
        <f t="shared" si="4"/>
        <v>687133.53</v>
      </c>
    </row>
    <row r="28" spans="1:12">
      <c r="A28" s="5" t="s">
        <v>55</v>
      </c>
      <c r="B28" s="1" t="s">
        <v>17</v>
      </c>
      <c r="C28" s="1" t="s">
        <v>13</v>
      </c>
      <c r="D28" s="86">
        <f>ведомств!J453</f>
        <v>621621.58000000007</v>
      </c>
      <c r="E28" s="86">
        <f>ведомств!K453</f>
        <v>650717.02999999991</v>
      </c>
      <c r="F28" s="86">
        <f>ведомств!L453</f>
        <v>669603.63</v>
      </c>
      <c r="G28" s="86">
        <f>ведомств!M453</f>
        <v>11605.619999999995</v>
      </c>
      <c r="H28" s="86">
        <f>ведомств!N453</f>
        <v>12144.13</v>
      </c>
      <c r="I28" s="86">
        <f>ведомств!O453</f>
        <v>17529.900000000001</v>
      </c>
      <c r="J28" s="86">
        <f t="shared" si="2"/>
        <v>633227.20000000007</v>
      </c>
      <c r="K28" s="86">
        <f t="shared" si="3"/>
        <v>662861.15999999992</v>
      </c>
      <c r="L28" s="86">
        <f t="shared" si="4"/>
        <v>687133.53</v>
      </c>
    </row>
    <row r="29" spans="1:12" ht="12.75" customHeight="1">
      <c r="A29" s="57"/>
      <c r="B29" s="38"/>
      <c r="C29" s="38"/>
      <c r="D29" s="86"/>
      <c r="E29" s="86"/>
      <c r="F29" s="86"/>
      <c r="G29" s="86"/>
      <c r="H29" s="86"/>
      <c r="I29" s="86"/>
      <c r="J29" s="86">
        <f t="shared" si="2"/>
        <v>0</v>
      </c>
      <c r="K29" s="86">
        <f t="shared" si="3"/>
        <v>0</v>
      </c>
      <c r="L29" s="86">
        <f t="shared" si="4"/>
        <v>0</v>
      </c>
    </row>
    <row r="30" spans="1:12" ht="12.75" customHeight="1">
      <c r="A30" s="6" t="s">
        <v>26</v>
      </c>
      <c r="B30" s="14" t="s">
        <v>13</v>
      </c>
      <c r="C30" s="1"/>
      <c r="D30" s="90">
        <f>SUM(D31:D34)</f>
        <v>5759468</v>
      </c>
      <c r="E30" s="90">
        <f t="shared" ref="E30:F30" si="6">SUM(E31:E34)</f>
        <v>4408686.72</v>
      </c>
      <c r="F30" s="90">
        <f t="shared" si="6"/>
        <v>3122434.19</v>
      </c>
      <c r="G30" s="90">
        <f t="shared" ref="G30:I30" si="7">SUM(G31:G34)</f>
        <v>0</v>
      </c>
      <c r="H30" s="90">
        <f t="shared" si="7"/>
        <v>0</v>
      </c>
      <c r="I30" s="90">
        <f t="shared" si="7"/>
        <v>0</v>
      </c>
      <c r="J30" s="90">
        <f t="shared" si="2"/>
        <v>5759468</v>
      </c>
      <c r="K30" s="90">
        <f t="shared" si="3"/>
        <v>4408686.72</v>
      </c>
      <c r="L30" s="90">
        <f t="shared" si="4"/>
        <v>3122434.19</v>
      </c>
    </row>
    <row r="31" spans="1:12" hidden="1">
      <c r="A31" s="83" t="s">
        <v>138</v>
      </c>
      <c r="B31" s="10" t="s">
        <v>13</v>
      </c>
      <c r="C31" s="1" t="s">
        <v>17</v>
      </c>
      <c r="D31" s="94"/>
      <c r="E31" s="94"/>
      <c r="F31" s="94"/>
      <c r="G31" s="94"/>
      <c r="H31" s="94"/>
      <c r="I31" s="94"/>
      <c r="J31" s="94">
        <f t="shared" si="2"/>
        <v>0</v>
      </c>
      <c r="K31" s="94">
        <f t="shared" si="3"/>
        <v>0</v>
      </c>
      <c r="L31" s="94">
        <f t="shared" si="4"/>
        <v>0</v>
      </c>
    </row>
    <row r="32" spans="1:12" hidden="1">
      <c r="A32" s="2" t="s">
        <v>229</v>
      </c>
      <c r="B32" s="1" t="s">
        <v>13</v>
      </c>
      <c r="C32" s="1" t="s">
        <v>14</v>
      </c>
      <c r="D32" s="86"/>
      <c r="E32" s="86"/>
      <c r="F32" s="86"/>
      <c r="G32" s="86"/>
      <c r="H32" s="86"/>
      <c r="I32" s="86"/>
      <c r="J32" s="86">
        <f t="shared" si="2"/>
        <v>0</v>
      </c>
      <c r="K32" s="86">
        <f t="shared" si="3"/>
        <v>0</v>
      </c>
      <c r="L32" s="86">
        <f t="shared" si="4"/>
        <v>0</v>
      </c>
    </row>
    <row r="33" spans="1:12" ht="25.5">
      <c r="A33" s="12" t="s">
        <v>230</v>
      </c>
      <c r="B33" s="1" t="s">
        <v>13</v>
      </c>
      <c r="C33" s="1" t="s">
        <v>30</v>
      </c>
      <c r="D33" s="86">
        <f>+ведомств!J462</f>
        <v>5689468</v>
      </c>
      <c r="E33" s="86">
        <f>+ведомств!K462</f>
        <v>4338686.72</v>
      </c>
      <c r="F33" s="86">
        <f>+ведомств!L462</f>
        <v>3052434.19</v>
      </c>
      <c r="G33" s="86">
        <f>+ведомств!M462</f>
        <v>0</v>
      </c>
      <c r="H33" s="86">
        <f>+ведомств!N462</f>
        <v>0</v>
      </c>
      <c r="I33" s="86">
        <f>+ведомств!O462</f>
        <v>0</v>
      </c>
      <c r="J33" s="86">
        <f t="shared" si="2"/>
        <v>5689468</v>
      </c>
      <c r="K33" s="86">
        <f t="shared" si="3"/>
        <v>4338686.72</v>
      </c>
      <c r="L33" s="86">
        <f t="shared" si="4"/>
        <v>3052434.19</v>
      </c>
    </row>
    <row r="34" spans="1:12" ht="25.5">
      <c r="A34" s="12" t="s">
        <v>192</v>
      </c>
      <c r="B34" s="1" t="s">
        <v>13</v>
      </c>
      <c r="C34" s="1" t="s">
        <v>29</v>
      </c>
      <c r="D34" s="86">
        <f>ведомств!J483</f>
        <v>70000</v>
      </c>
      <c r="E34" s="86">
        <f>ведомств!K483</f>
        <v>70000</v>
      </c>
      <c r="F34" s="86">
        <f>ведомств!L483</f>
        <v>70000</v>
      </c>
      <c r="G34" s="86">
        <f>ведомств!M483</f>
        <v>0</v>
      </c>
      <c r="H34" s="86">
        <f>ведомств!N483</f>
        <v>0</v>
      </c>
      <c r="I34" s="86">
        <f>ведомств!O483</f>
        <v>0</v>
      </c>
      <c r="J34" s="86">
        <f t="shared" si="2"/>
        <v>70000</v>
      </c>
      <c r="K34" s="86">
        <f t="shared" si="3"/>
        <v>70000</v>
      </c>
      <c r="L34" s="86">
        <f t="shared" si="4"/>
        <v>70000</v>
      </c>
    </row>
    <row r="35" spans="1:12">
      <c r="A35" s="57"/>
      <c r="B35" s="38"/>
      <c r="C35" s="38"/>
      <c r="D35" s="86"/>
      <c r="E35" s="86"/>
      <c r="F35" s="86"/>
      <c r="G35" s="86"/>
      <c r="H35" s="86"/>
      <c r="I35" s="86"/>
      <c r="J35" s="86"/>
      <c r="K35" s="86"/>
      <c r="L35" s="86"/>
    </row>
    <row r="36" spans="1:12">
      <c r="A36" s="4" t="s">
        <v>15</v>
      </c>
      <c r="B36" s="58" t="s">
        <v>16</v>
      </c>
      <c r="C36" s="3"/>
      <c r="D36" s="90">
        <f>SUM(D37:D40)</f>
        <v>61250989</v>
      </c>
      <c r="E36" s="90">
        <f t="shared" ref="E36:F36" si="8">SUM(E37:E40)</f>
        <v>32635565.830000002</v>
      </c>
      <c r="F36" s="90">
        <f t="shared" si="8"/>
        <v>34177643.159999996</v>
      </c>
      <c r="G36" s="90">
        <f t="shared" ref="G36:I36" si="9">SUM(G37:G40)</f>
        <v>13136625.350000001</v>
      </c>
      <c r="H36" s="90">
        <f t="shared" si="9"/>
        <v>0</v>
      </c>
      <c r="I36" s="90">
        <f t="shared" si="9"/>
        <v>0</v>
      </c>
      <c r="J36" s="90">
        <f t="shared" si="2"/>
        <v>74387614.349999994</v>
      </c>
      <c r="K36" s="90">
        <f t="shared" si="3"/>
        <v>32635565.830000002</v>
      </c>
      <c r="L36" s="90">
        <f t="shared" si="4"/>
        <v>34177643.159999996</v>
      </c>
    </row>
    <row r="37" spans="1:12">
      <c r="A37" s="2" t="s">
        <v>36</v>
      </c>
      <c r="B37" s="1" t="s">
        <v>16</v>
      </c>
      <c r="C37" s="1" t="s">
        <v>18</v>
      </c>
      <c r="D37" s="86">
        <f>ведомств!J496</f>
        <v>575200</v>
      </c>
      <c r="E37" s="86">
        <f>ведомств!K496</f>
        <v>580479.06999999995</v>
      </c>
      <c r="F37" s="86">
        <f>ведомств!L496</f>
        <v>1035783.86</v>
      </c>
      <c r="G37" s="86">
        <f>ведомств!M496</f>
        <v>0</v>
      </c>
      <c r="H37" s="86">
        <f>ведомств!N496</f>
        <v>0</v>
      </c>
      <c r="I37" s="86">
        <f>ведомств!O496</f>
        <v>0</v>
      </c>
      <c r="J37" s="86">
        <f t="shared" si="2"/>
        <v>575200</v>
      </c>
      <c r="K37" s="86">
        <f t="shared" si="3"/>
        <v>580479.06999999995</v>
      </c>
      <c r="L37" s="86">
        <f t="shared" si="4"/>
        <v>1035783.86</v>
      </c>
    </row>
    <row r="38" spans="1:12">
      <c r="A38" s="2" t="s">
        <v>23</v>
      </c>
      <c r="B38" s="1" t="s">
        <v>16</v>
      </c>
      <c r="C38" s="1" t="s">
        <v>27</v>
      </c>
      <c r="D38" s="86">
        <f>+ведомств!J509</f>
        <v>30941700</v>
      </c>
      <c r="E38" s="86">
        <f>+ведомств!K509</f>
        <v>5569055.0700000003</v>
      </c>
      <c r="F38" s="86">
        <f>+ведомств!L509</f>
        <v>5595727.6200000001</v>
      </c>
      <c r="G38" s="86">
        <f>+ведомств!M509</f>
        <v>3728658.14</v>
      </c>
      <c r="H38" s="86">
        <f>+ведомств!N509</f>
        <v>0</v>
      </c>
      <c r="I38" s="86">
        <f>+ведомств!O509</f>
        <v>0</v>
      </c>
      <c r="J38" s="86">
        <f t="shared" si="2"/>
        <v>34670358.140000001</v>
      </c>
      <c r="K38" s="86">
        <f t="shared" si="3"/>
        <v>5569055.0700000003</v>
      </c>
      <c r="L38" s="86">
        <f t="shared" si="4"/>
        <v>5595727.6200000001</v>
      </c>
    </row>
    <row r="39" spans="1:12">
      <c r="A39" s="2" t="s">
        <v>60</v>
      </c>
      <c r="B39" s="1" t="s">
        <v>16</v>
      </c>
      <c r="C39" s="1" t="s">
        <v>14</v>
      </c>
      <c r="D39" s="86">
        <f>ведомств!J529</f>
        <v>27679339</v>
      </c>
      <c r="E39" s="86">
        <f>ведомств!K529</f>
        <v>26191349.690000001</v>
      </c>
      <c r="F39" s="86">
        <f>ведомств!L529</f>
        <v>27031449.68</v>
      </c>
      <c r="G39" s="86">
        <f>ведомств!M529</f>
        <v>9407967.2100000009</v>
      </c>
      <c r="H39" s="86">
        <f>ведомств!N529</f>
        <v>0</v>
      </c>
      <c r="I39" s="86">
        <f>ведомств!O529</f>
        <v>0</v>
      </c>
      <c r="J39" s="86">
        <f t="shared" si="2"/>
        <v>37087306.210000001</v>
      </c>
      <c r="K39" s="86">
        <f t="shared" si="3"/>
        <v>26191349.690000001</v>
      </c>
      <c r="L39" s="86">
        <f t="shared" si="4"/>
        <v>27031449.68</v>
      </c>
    </row>
    <row r="40" spans="1:12">
      <c r="A40" s="2" t="s">
        <v>37</v>
      </c>
      <c r="B40" s="1" t="s">
        <v>16</v>
      </c>
      <c r="C40" s="1" t="s">
        <v>31</v>
      </c>
      <c r="D40" s="86">
        <f>ведомств!J553+ведомств!J319</f>
        <v>2054750</v>
      </c>
      <c r="E40" s="86">
        <f>ведомств!K553+ведомств!K319</f>
        <v>294682</v>
      </c>
      <c r="F40" s="86">
        <f>ведомств!L553+ведомств!L319</f>
        <v>514682</v>
      </c>
      <c r="G40" s="86">
        <f>ведомств!M553+ведомств!M319</f>
        <v>0</v>
      </c>
      <c r="H40" s="86">
        <f>ведомств!N553+ведомств!N319</f>
        <v>0</v>
      </c>
      <c r="I40" s="86">
        <f>ведомств!O553+ведомств!O319</f>
        <v>0</v>
      </c>
      <c r="J40" s="86">
        <f t="shared" si="2"/>
        <v>2054750</v>
      </c>
      <c r="K40" s="86">
        <f t="shared" si="3"/>
        <v>294682</v>
      </c>
      <c r="L40" s="86">
        <f t="shared" si="4"/>
        <v>514682</v>
      </c>
    </row>
    <row r="41" spans="1:12">
      <c r="A41" s="57"/>
      <c r="B41" s="38"/>
      <c r="C41" s="38"/>
      <c r="D41" s="86"/>
      <c r="E41" s="86"/>
      <c r="F41" s="86"/>
      <c r="G41" s="86"/>
      <c r="H41" s="86"/>
      <c r="I41" s="86"/>
      <c r="J41" s="86"/>
      <c r="K41" s="86"/>
      <c r="L41" s="86"/>
    </row>
    <row r="42" spans="1:12">
      <c r="A42" s="63" t="s">
        <v>46</v>
      </c>
      <c r="B42" s="58" t="s">
        <v>18</v>
      </c>
      <c r="C42" s="38"/>
      <c r="D42" s="90">
        <f>SUM(D43:D46)</f>
        <v>54346555.200000003</v>
      </c>
      <c r="E42" s="90">
        <f t="shared" ref="E42:F42" si="10">SUM(E43:E46)</f>
        <v>29866746.900000002</v>
      </c>
      <c r="F42" s="90">
        <f t="shared" si="10"/>
        <v>29708006.140000001</v>
      </c>
      <c r="G42" s="90">
        <f t="shared" ref="G42:I42" si="11">SUM(G43:G46)</f>
        <v>4545037.67</v>
      </c>
      <c r="H42" s="90">
        <f t="shared" si="11"/>
        <v>2228470.13</v>
      </c>
      <c r="I42" s="90">
        <f t="shared" si="11"/>
        <v>0</v>
      </c>
      <c r="J42" s="90">
        <f t="shared" si="2"/>
        <v>58891592.870000005</v>
      </c>
      <c r="K42" s="90">
        <f t="shared" si="3"/>
        <v>32095217.030000001</v>
      </c>
      <c r="L42" s="90">
        <f t="shared" si="4"/>
        <v>29708006.140000001</v>
      </c>
    </row>
    <row r="43" spans="1:12">
      <c r="A43" s="126" t="s">
        <v>61</v>
      </c>
      <c r="B43" s="1" t="s">
        <v>18</v>
      </c>
      <c r="C43" s="1" t="s">
        <v>20</v>
      </c>
      <c r="D43" s="86">
        <f>ведомств!J570+ведомств!J326</f>
        <v>16319870.199999999</v>
      </c>
      <c r="E43" s="86">
        <f>ведомств!K570+ведомств!K326</f>
        <v>4041522.32</v>
      </c>
      <c r="F43" s="86">
        <f>ведомств!L570+ведомств!L326</f>
        <v>3955863.21</v>
      </c>
      <c r="G43" s="86">
        <f>ведомств!M570+ведомств!M326</f>
        <v>600000</v>
      </c>
      <c r="H43" s="86">
        <f>ведомств!N570+ведомств!N326</f>
        <v>0</v>
      </c>
      <c r="I43" s="86">
        <f>ведомств!O570+ведомств!O326</f>
        <v>0</v>
      </c>
      <c r="J43" s="86">
        <f t="shared" si="2"/>
        <v>16919870.199999999</v>
      </c>
      <c r="K43" s="86">
        <f t="shared" si="3"/>
        <v>4041522.32</v>
      </c>
      <c r="L43" s="86">
        <f t="shared" si="4"/>
        <v>3955863.21</v>
      </c>
    </row>
    <row r="44" spans="1:12">
      <c r="A44" s="126" t="s">
        <v>47</v>
      </c>
      <c r="B44" s="1" t="s">
        <v>18</v>
      </c>
      <c r="C44" s="1" t="s">
        <v>17</v>
      </c>
      <c r="D44" s="86">
        <f>ведомств!J591</f>
        <v>12249183</v>
      </c>
      <c r="E44" s="86">
        <f>ведомств!K591</f>
        <v>7198522.4499999993</v>
      </c>
      <c r="F44" s="86">
        <f>ведомств!L591</f>
        <v>7412302.0999999996</v>
      </c>
      <c r="G44" s="86">
        <f>ведомств!M591</f>
        <v>0</v>
      </c>
      <c r="H44" s="86">
        <f>ведомств!N591</f>
        <v>0</v>
      </c>
      <c r="I44" s="86">
        <f>ведомств!O591</f>
        <v>0</v>
      </c>
      <c r="J44" s="86">
        <f t="shared" si="2"/>
        <v>12249183</v>
      </c>
      <c r="K44" s="86">
        <f t="shared" si="3"/>
        <v>7198522.4499999993</v>
      </c>
      <c r="L44" s="86">
        <f t="shared" si="4"/>
        <v>7412302.0999999996</v>
      </c>
    </row>
    <row r="45" spans="1:12">
      <c r="A45" s="57" t="s">
        <v>68</v>
      </c>
      <c r="B45" s="1" t="s">
        <v>18</v>
      </c>
      <c r="C45" s="1" t="s">
        <v>13</v>
      </c>
      <c r="D45" s="86">
        <f>ведомств!J616</f>
        <v>25777502</v>
      </c>
      <c r="E45" s="86">
        <f>ведомств!K616</f>
        <v>18626702.130000003</v>
      </c>
      <c r="F45" s="86">
        <f>ведомств!L616</f>
        <v>18339840.830000002</v>
      </c>
      <c r="G45" s="86">
        <f>ведомств!M616</f>
        <v>3945037.67</v>
      </c>
      <c r="H45" s="86">
        <f>ведомств!N616</f>
        <v>2228470.13</v>
      </c>
      <c r="I45" s="86">
        <f>ведомств!O616</f>
        <v>0</v>
      </c>
      <c r="J45" s="86">
        <f t="shared" si="2"/>
        <v>29722539.670000002</v>
      </c>
      <c r="K45" s="86">
        <f t="shared" si="3"/>
        <v>20855172.260000002</v>
      </c>
      <c r="L45" s="86">
        <f t="shared" si="4"/>
        <v>18339840.830000002</v>
      </c>
    </row>
    <row r="46" spans="1:12" hidden="1">
      <c r="A46" s="126" t="s">
        <v>239</v>
      </c>
      <c r="B46" s="1" t="s">
        <v>18</v>
      </c>
      <c r="C46" s="1" t="s">
        <v>18</v>
      </c>
      <c r="D46" s="86"/>
      <c r="E46" s="86"/>
      <c r="F46" s="86"/>
      <c r="G46" s="86"/>
      <c r="H46" s="86"/>
      <c r="I46" s="86"/>
      <c r="J46" s="86">
        <f t="shared" si="2"/>
        <v>0</v>
      </c>
      <c r="K46" s="86">
        <f t="shared" si="3"/>
        <v>0</v>
      </c>
      <c r="L46" s="86">
        <f t="shared" si="4"/>
        <v>0</v>
      </c>
    </row>
    <row r="47" spans="1:12">
      <c r="A47" s="57"/>
      <c r="B47" s="1"/>
      <c r="C47" s="1"/>
      <c r="D47" s="86"/>
      <c r="E47" s="86"/>
      <c r="F47" s="86"/>
      <c r="G47" s="86"/>
      <c r="H47" s="86"/>
      <c r="I47" s="86"/>
      <c r="J47" s="86"/>
      <c r="K47" s="86"/>
      <c r="L47" s="86"/>
    </row>
    <row r="48" spans="1:12" ht="12" customHeight="1">
      <c r="A48" s="4" t="s">
        <v>65</v>
      </c>
      <c r="B48" s="14" t="s">
        <v>3</v>
      </c>
      <c r="C48" s="1"/>
      <c r="D48" s="90">
        <f>D49+D50</f>
        <v>10869000</v>
      </c>
      <c r="E48" s="90">
        <f t="shared" ref="E48:F48" si="12">E49+E50</f>
        <v>10869000</v>
      </c>
      <c r="F48" s="90">
        <f t="shared" si="12"/>
        <v>10869000</v>
      </c>
      <c r="G48" s="90">
        <f t="shared" ref="G48:I48" si="13">G49+G50</f>
        <v>2133743.17</v>
      </c>
      <c r="H48" s="90">
        <f t="shared" si="13"/>
        <v>0</v>
      </c>
      <c r="I48" s="90">
        <f t="shared" si="13"/>
        <v>0</v>
      </c>
      <c r="J48" s="90">
        <f t="shared" si="2"/>
        <v>13002743.17</v>
      </c>
      <c r="K48" s="90">
        <f t="shared" si="3"/>
        <v>10869000</v>
      </c>
      <c r="L48" s="90">
        <f t="shared" si="4"/>
        <v>10869000</v>
      </c>
    </row>
    <row r="49" spans="1:12" ht="12" hidden="1" customHeight="1">
      <c r="A49" s="2" t="s">
        <v>66</v>
      </c>
      <c r="B49" s="1" t="s">
        <v>3</v>
      </c>
      <c r="C49" s="1" t="s">
        <v>13</v>
      </c>
      <c r="D49" s="86"/>
      <c r="E49" s="86"/>
      <c r="F49" s="86"/>
      <c r="G49" s="86"/>
      <c r="H49" s="86"/>
      <c r="I49" s="86"/>
      <c r="J49" s="86">
        <f t="shared" si="2"/>
        <v>0</v>
      </c>
      <c r="K49" s="86">
        <f t="shared" si="3"/>
        <v>0</v>
      </c>
      <c r="L49" s="86">
        <f t="shared" si="4"/>
        <v>0</v>
      </c>
    </row>
    <row r="50" spans="1:12">
      <c r="A50" s="2" t="s">
        <v>217</v>
      </c>
      <c r="B50" s="1" t="s">
        <v>3</v>
      </c>
      <c r="C50" s="1" t="s">
        <v>18</v>
      </c>
      <c r="D50" s="86">
        <f>ведомств!J647</f>
        <v>10869000</v>
      </c>
      <c r="E50" s="86">
        <f>ведомств!K647</f>
        <v>10869000</v>
      </c>
      <c r="F50" s="86">
        <f>ведомств!L647</f>
        <v>10869000</v>
      </c>
      <c r="G50" s="86">
        <f>ведомств!M647</f>
        <v>2133743.17</v>
      </c>
      <c r="H50" s="86">
        <f>ведомств!N647</f>
        <v>0</v>
      </c>
      <c r="I50" s="86">
        <f>ведомств!O647</f>
        <v>0</v>
      </c>
      <c r="J50" s="86">
        <f t="shared" si="2"/>
        <v>13002743.17</v>
      </c>
      <c r="K50" s="86">
        <f t="shared" si="3"/>
        <v>10869000</v>
      </c>
      <c r="L50" s="86">
        <f t="shared" si="4"/>
        <v>10869000</v>
      </c>
    </row>
    <row r="51" spans="1:12">
      <c r="A51" s="57"/>
      <c r="B51" s="1"/>
      <c r="C51" s="1"/>
      <c r="D51" s="86"/>
      <c r="E51" s="86"/>
      <c r="F51" s="86"/>
      <c r="G51" s="86"/>
      <c r="H51" s="86"/>
      <c r="I51" s="86"/>
      <c r="J51" s="86"/>
      <c r="K51" s="86"/>
      <c r="L51" s="86"/>
    </row>
    <row r="52" spans="1:12">
      <c r="A52" s="4" t="s">
        <v>24</v>
      </c>
      <c r="B52" s="15" t="s">
        <v>2</v>
      </c>
      <c r="C52" s="1"/>
      <c r="D52" s="90">
        <f>SUM(D53:D57)</f>
        <v>468759943.85000002</v>
      </c>
      <c r="E52" s="90">
        <f t="shared" ref="E52:F52" si="14">SUM(E53:E57)</f>
        <v>456753777.13999999</v>
      </c>
      <c r="F52" s="90">
        <f t="shared" si="14"/>
        <v>464026725.60000002</v>
      </c>
      <c r="G52" s="90">
        <f t="shared" ref="G52:I52" si="15">SUM(G53:G57)</f>
        <v>44958049.219999999</v>
      </c>
      <c r="H52" s="90">
        <f t="shared" si="15"/>
        <v>-1221415.03</v>
      </c>
      <c r="I52" s="90">
        <f t="shared" si="15"/>
        <v>-1080309.6800000002</v>
      </c>
      <c r="J52" s="90">
        <f t="shared" si="2"/>
        <v>513717993.07000005</v>
      </c>
      <c r="K52" s="90">
        <f t="shared" si="3"/>
        <v>455532362.11000001</v>
      </c>
      <c r="L52" s="90">
        <f t="shared" si="4"/>
        <v>462946415.92000002</v>
      </c>
    </row>
    <row r="53" spans="1:12">
      <c r="A53" s="59" t="s">
        <v>8</v>
      </c>
      <c r="B53" s="60" t="s">
        <v>2</v>
      </c>
      <c r="C53" s="60" t="s">
        <v>20</v>
      </c>
      <c r="D53" s="86">
        <f>ведомств!J144</f>
        <v>92670235</v>
      </c>
      <c r="E53" s="86">
        <f>ведомств!K144</f>
        <v>91030997.620000005</v>
      </c>
      <c r="F53" s="86">
        <f>ведомств!L144</f>
        <v>90712509.200000003</v>
      </c>
      <c r="G53" s="86">
        <f>ведомств!M144</f>
        <v>-500000</v>
      </c>
      <c r="H53" s="86">
        <f>ведомств!N144</f>
        <v>-424386.66</v>
      </c>
      <c r="I53" s="86">
        <f>ведомств!O144</f>
        <v>-401680</v>
      </c>
      <c r="J53" s="86">
        <f t="shared" si="2"/>
        <v>92170235</v>
      </c>
      <c r="K53" s="86">
        <f t="shared" si="3"/>
        <v>90606610.960000008</v>
      </c>
      <c r="L53" s="86">
        <f t="shared" si="4"/>
        <v>90310829.200000003</v>
      </c>
    </row>
    <row r="54" spans="1:12">
      <c r="A54" s="2" t="s">
        <v>25</v>
      </c>
      <c r="B54" s="1" t="s">
        <v>2</v>
      </c>
      <c r="C54" s="1" t="s">
        <v>17</v>
      </c>
      <c r="D54" s="86">
        <f>ведомств!J160+ведомств!J659</f>
        <v>309079104.48000002</v>
      </c>
      <c r="E54" s="86">
        <f>ведомств!K160+ведомств!K659</f>
        <v>303362208.33000004</v>
      </c>
      <c r="F54" s="86">
        <f>ведомств!L160+ведомств!L659</f>
        <v>310417017.47000003</v>
      </c>
      <c r="G54" s="86">
        <f>ведомств!M160+ведомств!M659</f>
        <v>45458049.219999999</v>
      </c>
      <c r="H54" s="86">
        <f>ведомств!N160+ведомств!N659</f>
        <v>-797028.37</v>
      </c>
      <c r="I54" s="86">
        <f>ведомств!O160+ведомств!O659</f>
        <v>-678629.68</v>
      </c>
      <c r="J54" s="86">
        <f t="shared" si="2"/>
        <v>354537153.70000005</v>
      </c>
      <c r="K54" s="86">
        <f t="shared" si="3"/>
        <v>302565179.96000004</v>
      </c>
      <c r="L54" s="86">
        <f t="shared" si="4"/>
        <v>309738387.79000002</v>
      </c>
    </row>
    <row r="55" spans="1:12">
      <c r="A55" s="2" t="s">
        <v>203</v>
      </c>
      <c r="B55" s="1" t="s">
        <v>2</v>
      </c>
      <c r="C55" s="1" t="s">
        <v>13</v>
      </c>
      <c r="D55" s="86">
        <f>ведомств!J34+ведомств!J193</f>
        <v>43262115</v>
      </c>
      <c r="E55" s="86">
        <f>ведомств!K34+ведомств!K193</f>
        <v>38410124.530000001</v>
      </c>
      <c r="F55" s="86">
        <f>ведомств!L34+ведомств!L193</f>
        <v>38652454.950000003</v>
      </c>
      <c r="G55" s="86">
        <f>ведомств!M34+ведомств!M193</f>
        <v>0</v>
      </c>
      <c r="H55" s="86">
        <f>ведомств!N34+ведомств!N193</f>
        <v>0</v>
      </c>
      <c r="I55" s="86">
        <f>ведомств!O34+ведомств!O193</f>
        <v>0</v>
      </c>
      <c r="J55" s="86">
        <f t="shared" si="2"/>
        <v>43262115</v>
      </c>
      <c r="K55" s="86">
        <f t="shared" si="3"/>
        <v>38410124.530000001</v>
      </c>
      <c r="L55" s="86">
        <f t="shared" si="4"/>
        <v>38652454.950000003</v>
      </c>
    </row>
    <row r="56" spans="1:12">
      <c r="A56" s="2" t="s">
        <v>200</v>
      </c>
      <c r="B56" s="1" t="s">
        <v>2</v>
      </c>
      <c r="C56" s="1" t="s">
        <v>2</v>
      </c>
      <c r="D56" s="86">
        <f>ведомств!J50+ведомств!J224</f>
        <v>5294590.37</v>
      </c>
      <c r="E56" s="86">
        <f>ведомств!K50+ведомств!K224</f>
        <v>5320948.13</v>
      </c>
      <c r="F56" s="86">
        <f>ведомств!L50+ведомств!L224</f>
        <v>5537890.4699999997</v>
      </c>
      <c r="G56" s="86">
        <f>ведомств!M50+ведомств!M224</f>
        <v>0</v>
      </c>
      <c r="H56" s="86">
        <f>ведомств!N50+ведомств!N224</f>
        <v>0</v>
      </c>
      <c r="I56" s="86">
        <f>ведомств!O50+ведомств!O224</f>
        <v>0</v>
      </c>
      <c r="J56" s="86">
        <f t="shared" si="2"/>
        <v>5294590.37</v>
      </c>
      <c r="K56" s="86">
        <f t="shared" si="3"/>
        <v>5320948.13</v>
      </c>
      <c r="L56" s="86">
        <f t="shared" si="4"/>
        <v>5537890.4699999997</v>
      </c>
    </row>
    <row r="57" spans="1:12">
      <c r="A57" s="2" t="s">
        <v>35</v>
      </c>
      <c r="B57" s="1" t="s">
        <v>2</v>
      </c>
      <c r="C57" s="1" t="s">
        <v>14</v>
      </c>
      <c r="D57" s="86">
        <f>ведомств!J243</f>
        <v>18453899</v>
      </c>
      <c r="E57" s="86">
        <f>ведомств!K243</f>
        <v>18629498.530000001</v>
      </c>
      <c r="F57" s="86">
        <f>ведомств!L243</f>
        <v>18706853.510000002</v>
      </c>
      <c r="G57" s="86">
        <f>ведомств!M243</f>
        <v>0</v>
      </c>
      <c r="H57" s="86">
        <f>ведомств!N243</f>
        <v>0</v>
      </c>
      <c r="I57" s="86">
        <f>ведомств!O243</f>
        <v>0</v>
      </c>
      <c r="J57" s="86">
        <f t="shared" si="2"/>
        <v>18453899</v>
      </c>
      <c r="K57" s="86">
        <f t="shared" si="3"/>
        <v>18629498.530000001</v>
      </c>
      <c r="L57" s="86">
        <f t="shared" si="4"/>
        <v>18706853.510000002</v>
      </c>
    </row>
    <row r="58" spans="1:12" ht="13.5" customHeight="1">
      <c r="A58" s="57"/>
      <c r="B58" s="38"/>
      <c r="C58" s="38"/>
      <c r="D58" s="86"/>
      <c r="E58" s="86"/>
      <c r="F58" s="86"/>
      <c r="G58" s="86"/>
      <c r="H58" s="86"/>
      <c r="I58" s="86"/>
      <c r="J58" s="86"/>
      <c r="K58" s="86"/>
      <c r="L58" s="86"/>
    </row>
    <row r="59" spans="1:12">
      <c r="A59" s="4" t="s">
        <v>201</v>
      </c>
      <c r="B59" s="15" t="s">
        <v>27</v>
      </c>
      <c r="C59" s="1"/>
      <c r="D59" s="90">
        <f>SUM(D60:D61)</f>
        <v>114655072.81</v>
      </c>
      <c r="E59" s="90">
        <f t="shared" ref="E59:F59" si="16">SUM(E60:E61)</f>
        <v>115006207.56999999</v>
      </c>
      <c r="F59" s="90">
        <f t="shared" si="16"/>
        <v>115030621.29999998</v>
      </c>
      <c r="G59" s="90">
        <f t="shared" ref="G59:I59" si="17">SUM(G60:G61)</f>
        <v>5157872.1500000004</v>
      </c>
      <c r="H59" s="90">
        <f t="shared" si="17"/>
        <v>-32430.240000000002</v>
      </c>
      <c r="I59" s="90">
        <f t="shared" si="17"/>
        <v>262382.61</v>
      </c>
      <c r="J59" s="90">
        <f t="shared" si="2"/>
        <v>119812944.96000001</v>
      </c>
      <c r="K59" s="90">
        <f t="shared" si="3"/>
        <v>114973777.33</v>
      </c>
      <c r="L59" s="90">
        <f t="shared" si="4"/>
        <v>115293003.90999998</v>
      </c>
    </row>
    <row r="60" spans="1:12">
      <c r="A60" s="2" t="s">
        <v>28</v>
      </c>
      <c r="B60" s="1" t="s">
        <v>27</v>
      </c>
      <c r="C60" s="1" t="s">
        <v>20</v>
      </c>
      <c r="D60" s="86">
        <f>ведомств!J57</f>
        <v>101055368.81</v>
      </c>
      <c r="E60" s="86">
        <f>ведомств!K57</f>
        <v>101274216.44</v>
      </c>
      <c r="F60" s="86">
        <f>ведомств!L57</f>
        <v>101235020.25999999</v>
      </c>
      <c r="G60" s="86">
        <f>ведомств!M57</f>
        <v>5157872.1500000004</v>
      </c>
      <c r="H60" s="86">
        <f>ведомств!N57</f>
        <v>-32430.240000000002</v>
      </c>
      <c r="I60" s="86">
        <f>ведомств!O57</f>
        <v>262382.61</v>
      </c>
      <c r="J60" s="86">
        <f t="shared" si="2"/>
        <v>106213240.96000001</v>
      </c>
      <c r="K60" s="86">
        <f t="shared" si="3"/>
        <v>101241786.2</v>
      </c>
      <c r="L60" s="86">
        <f t="shared" si="4"/>
        <v>101497402.86999999</v>
      </c>
    </row>
    <row r="61" spans="1:12">
      <c r="A61" s="2" t="s">
        <v>202</v>
      </c>
      <c r="B61" s="1" t="s">
        <v>27</v>
      </c>
      <c r="C61" s="1" t="s">
        <v>16</v>
      </c>
      <c r="D61" s="86">
        <f>ведомств!J111</f>
        <v>13599704</v>
      </c>
      <c r="E61" s="86">
        <f>ведомств!K111</f>
        <v>13731991.130000001</v>
      </c>
      <c r="F61" s="86">
        <f>ведомств!L111</f>
        <v>13795601.039999999</v>
      </c>
      <c r="G61" s="86">
        <f>ведомств!M111</f>
        <v>0</v>
      </c>
      <c r="H61" s="86">
        <f>ведомств!N111</f>
        <v>0</v>
      </c>
      <c r="I61" s="86">
        <f>ведомств!O111</f>
        <v>0</v>
      </c>
      <c r="J61" s="86">
        <f t="shared" si="2"/>
        <v>13599704</v>
      </c>
      <c r="K61" s="86">
        <f t="shared" si="3"/>
        <v>13731991.130000001</v>
      </c>
      <c r="L61" s="86">
        <f t="shared" si="4"/>
        <v>13795601.039999999</v>
      </c>
    </row>
    <row r="62" spans="1:12">
      <c r="A62" s="57"/>
      <c r="B62" s="38"/>
      <c r="C62" s="38"/>
      <c r="D62" s="86"/>
      <c r="E62" s="86"/>
      <c r="F62" s="86"/>
      <c r="G62" s="86"/>
      <c r="H62" s="86"/>
      <c r="I62" s="86"/>
      <c r="J62" s="86"/>
      <c r="K62" s="86"/>
      <c r="L62" s="86"/>
    </row>
    <row r="63" spans="1:12">
      <c r="A63" s="19" t="s">
        <v>128</v>
      </c>
      <c r="B63" s="14" t="s">
        <v>14</v>
      </c>
      <c r="C63" s="38"/>
      <c r="D63" s="90">
        <f>D64</f>
        <v>672500</v>
      </c>
      <c r="E63" s="90">
        <f t="shared" ref="E63:I63" si="18">E64</f>
        <v>172500</v>
      </c>
      <c r="F63" s="90">
        <f t="shared" si="18"/>
        <v>57500</v>
      </c>
      <c r="G63" s="90">
        <f t="shared" si="18"/>
        <v>0</v>
      </c>
      <c r="H63" s="90">
        <f t="shared" si="18"/>
        <v>0</v>
      </c>
      <c r="I63" s="90">
        <f t="shared" si="18"/>
        <v>0</v>
      </c>
      <c r="J63" s="90">
        <f t="shared" si="2"/>
        <v>672500</v>
      </c>
      <c r="K63" s="90">
        <f t="shared" si="3"/>
        <v>172500</v>
      </c>
      <c r="L63" s="90">
        <f t="shared" si="4"/>
        <v>57500</v>
      </c>
    </row>
    <row r="64" spans="1:12" ht="15" customHeight="1">
      <c r="A64" s="2" t="s">
        <v>129</v>
      </c>
      <c r="B64" s="60" t="s">
        <v>14</v>
      </c>
      <c r="C64" s="60" t="s">
        <v>14</v>
      </c>
      <c r="D64" s="86">
        <f>ведомств!J667</f>
        <v>672500</v>
      </c>
      <c r="E64" s="86">
        <f>ведомств!K667</f>
        <v>172500</v>
      </c>
      <c r="F64" s="86">
        <f>ведомств!L667</f>
        <v>57500</v>
      </c>
      <c r="G64" s="86">
        <f>ведомств!M667</f>
        <v>0</v>
      </c>
      <c r="H64" s="86">
        <f>ведомств!N667</f>
        <v>0</v>
      </c>
      <c r="I64" s="86">
        <f>ведомств!O667</f>
        <v>0</v>
      </c>
      <c r="J64" s="86">
        <f t="shared" si="2"/>
        <v>672500</v>
      </c>
      <c r="K64" s="86">
        <f t="shared" si="3"/>
        <v>172500</v>
      </c>
      <c r="L64" s="86">
        <f t="shared" si="4"/>
        <v>57500</v>
      </c>
    </row>
    <row r="65" spans="1:12">
      <c r="A65" s="57"/>
      <c r="B65" s="60"/>
      <c r="C65" s="38"/>
      <c r="D65" s="86"/>
      <c r="E65" s="86"/>
      <c r="F65" s="86"/>
      <c r="G65" s="86"/>
      <c r="H65" s="86"/>
      <c r="I65" s="86"/>
      <c r="J65" s="86"/>
      <c r="K65" s="86"/>
      <c r="L65" s="86"/>
    </row>
    <row r="66" spans="1:12">
      <c r="A66" s="4" t="s">
        <v>5</v>
      </c>
      <c r="B66" s="15" t="s">
        <v>30</v>
      </c>
      <c r="C66" s="1"/>
      <c r="D66" s="90">
        <f>SUM(D67:D70)</f>
        <v>28545662.41</v>
      </c>
      <c r="E66" s="90">
        <f t="shared" ref="E66:F66" si="19">SUM(E67:E70)</f>
        <v>15089804.539999999</v>
      </c>
      <c r="F66" s="90">
        <f t="shared" si="19"/>
        <v>15370169.6</v>
      </c>
      <c r="G66" s="90">
        <f t="shared" ref="G66:I66" si="20">SUM(G67:G70)</f>
        <v>1100915.7600000002</v>
      </c>
      <c r="H66" s="90">
        <f t="shared" si="20"/>
        <v>-89112.14</v>
      </c>
      <c r="I66" s="90">
        <f t="shared" si="20"/>
        <v>-370390.75</v>
      </c>
      <c r="J66" s="90">
        <f t="shared" si="2"/>
        <v>29646578.170000002</v>
      </c>
      <c r="K66" s="90">
        <f t="shared" si="3"/>
        <v>15000692.399999999</v>
      </c>
      <c r="L66" s="90">
        <f t="shared" si="4"/>
        <v>14999778.85</v>
      </c>
    </row>
    <row r="67" spans="1:12">
      <c r="A67" s="2" t="s">
        <v>6</v>
      </c>
      <c r="B67" s="1" t="s">
        <v>30</v>
      </c>
      <c r="C67" s="1" t="s">
        <v>20</v>
      </c>
      <c r="D67" s="86">
        <f>ведомств!J680</f>
        <v>4277700</v>
      </c>
      <c r="E67" s="86">
        <f>ведомств!K680</f>
        <v>4277700</v>
      </c>
      <c r="F67" s="86">
        <f>ведомств!L680</f>
        <v>4277700</v>
      </c>
      <c r="G67" s="86">
        <f>ведомств!M680</f>
        <v>0</v>
      </c>
      <c r="H67" s="86">
        <f>ведомств!N680</f>
        <v>0</v>
      </c>
      <c r="I67" s="86">
        <f>ведомств!O680</f>
        <v>0</v>
      </c>
      <c r="J67" s="86">
        <f t="shared" si="2"/>
        <v>4277700</v>
      </c>
      <c r="K67" s="86">
        <f t="shared" si="3"/>
        <v>4277700</v>
      </c>
      <c r="L67" s="86">
        <f t="shared" si="4"/>
        <v>4277700</v>
      </c>
    </row>
    <row r="68" spans="1:12">
      <c r="A68" s="2" t="s">
        <v>7</v>
      </c>
      <c r="B68" s="1" t="s">
        <v>30</v>
      </c>
      <c r="C68" s="1" t="s">
        <v>13</v>
      </c>
      <c r="D68" s="86">
        <f>+ведомств!J688</f>
        <v>13927680</v>
      </c>
      <c r="E68" s="86">
        <f>+ведомств!K688</f>
        <v>468000</v>
      </c>
      <c r="F68" s="86">
        <f>+ведомств!L688</f>
        <v>468000</v>
      </c>
      <c r="G68" s="86">
        <f>+ведомств!M688</f>
        <v>986897.66</v>
      </c>
      <c r="H68" s="86">
        <f>+ведомств!N688</f>
        <v>0</v>
      </c>
      <c r="I68" s="86">
        <f>+ведомств!O688</f>
        <v>0</v>
      </c>
      <c r="J68" s="86">
        <f t="shared" si="2"/>
        <v>14914577.66</v>
      </c>
      <c r="K68" s="86">
        <f t="shared" si="3"/>
        <v>468000</v>
      </c>
      <c r="L68" s="86">
        <f t="shared" si="4"/>
        <v>468000</v>
      </c>
    </row>
    <row r="69" spans="1:12">
      <c r="A69" s="7" t="s">
        <v>21</v>
      </c>
      <c r="B69" s="1" t="s">
        <v>30</v>
      </c>
      <c r="C69" s="1" t="s">
        <v>16</v>
      </c>
      <c r="D69" s="86">
        <f>ведомств!J271+ведомств!J715+ведомств!J122</f>
        <v>7543428.5</v>
      </c>
      <c r="E69" s="86">
        <f>ведомств!K271+ведомств!K715+ведомств!K122</f>
        <v>7301349.3300000001</v>
      </c>
      <c r="F69" s="86">
        <f>ведомств!L271+ведомств!L715+ведомств!L122</f>
        <v>7194631.0600000005</v>
      </c>
      <c r="G69" s="86">
        <f>ведомств!M271+ведомств!M715+ведомств!M122</f>
        <v>89010</v>
      </c>
      <c r="H69" s="86">
        <f>ведомств!N271+ведомств!N715+ведомств!N122</f>
        <v>0</v>
      </c>
      <c r="I69" s="86">
        <f>ведомств!O271+ведомств!O715+ведомств!O122</f>
        <v>0</v>
      </c>
      <c r="J69" s="86">
        <f t="shared" si="2"/>
        <v>7632438.5</v>
      </c>
      <c r="K69" s="86">
        <f t="shared" si="3"/>
        <v>7301349.3300000001</v>
      </c>
      <c r="L69" s="86">
        <f t="shared" si="4"/>
        <v>7194631.0600000005</v>
      </c>
    </row>
    <row r="70" spans="1:12">
      <c r="A70" s="7" t="s">
        <v>59</v>
      </c>
      <c r="B70" s="1" t="s">
        <v>30</v>
      </c>
      <c r="C70" s="1" t="s">
        <v>3</v>
      </c>
      <c r="D70" s="86">
        <f>ведомств!J291</f>
        <v>2796853.9099999997</v>
      </c>
      <c r="E70" s="86">
        <f>ведомств!K291</f>
        <v>3042755.21</v>
      </c>
      <c r="F70" s="86">
        <f>ведомств!L291</f>
        <v>3429838.5399999996</v>
      </c>
      <c r="G70" s="86">
        <f>ведомств!M291</f>
        <v>25008.1</v>
      </c>
      <c r="H70" s="86">
        <f>ведомств!N291</f>
        <v>-89112.14</v>
      </c>
      <c r="I70" s="86">
        <f>ведомств!O291</f>
        <v>-370390.75</v>
      </c>
      <c r="J70" s="86">
        <f t="shared" si="2"/>
        <v>2821862.01</v>
      </c>
      <c r="K70" s="86">
        <f t="shared" si="3"/>
        <v>2953643.07</v>
      </c>
      <c r="L70" s="86">
        <f t="shared" si="4"/>
        <v>3059447.7899999996</v>
      </c>
    </row>
    <row r="71" spans="1:12" ht="12" customHeight="1">
      <c r="A71" s="57"/>
      <c r="B71" s="38"/>
      <c r="C71" s="38"/>
      <c r="D71" s="86"/>
      <c r="E71" s="86"/>
      <c r="F71" s="86"/>
      <c r="G71" s="86"/>
      <c r="H71" s="86"/>
      <c r="I71" s="86"/>
      <c r="J71" s="86"/>
      <c r="K71" s="86"/>
      <c r="L71" s="86"/>
    </row>
    <row r="72" spans="1:12">
      <c r="A72" s="4" t="s">
        <v>4</v>
      </c>
      <c r="B72" s="15" t="s">
        <v>19</v>
      </c>
      <c r="C72" s="1"/>
      <c r="D72" s="90">
        <f>SUM(D73:D75)</f>
        <v>760000</v>
      </c>
      <c r="E72" s="90">
        <f t="shared" ref="E72:F72" si="21">SUM(E73:E75)</f>
        <v>760000</v>
      </c>
      <c r="F72" s="90">
        <f t="shared" si="21"/>
        <v>760000</v>
      </c>
      <c r="G72" s="90">
        <f t="shared" ref="G72:I72" si="22">SUM(G73:G75)</f>
        <v>0</v>
      </c>
      <c r="H72" s="90">
        <f t="shared" si="22"/>
        <v>0</v>
      </c>
      <c r="I72" s="90">
        <f t="shared" si="22"/>
        <v>0</v>
      </c>
      <c r="J72" s="90">
        <f t="shared" si="2"/>
        <v>760000</v>
      </c>
      <c r="K72" s="90">
        <f t="shared" si="3"/>
        <v>760000</v>
      </c>
      <c r="L72" s="90">
        <f t="shared" si="4"/>
        <v>760000</v>
      </c>
    </row>
    <row r="73" spans="1:12">
      <c r="A73" s="7" t="s">
        <v>51</v>
      </c>
      <c r="B73" s="1" t="s">
        <v>19</v>
      </c>
      <c r="C73" s="1" t="s">
        <v>20</v>
      </c>
      <c r="D73" s="86">
        <f>ведомств!J129</f>
        <v>760000</v>
      </c>
      <c r="E73" s="86">
        <f>ведомств!K129</f>
        <v>760000</v>
      </c>
      <c r="F73" s="86">
        <f>ведомств!L129</f>
        <v>760000</v>
      </c>
      <c r="G73" s="86">
        <f>ведомств!M129</f>
        <v>0</v>
      </c>
      <c r="H73" s="86">
        <f>ведомств!N129</f>
        <v>0</v>
      </c>
      <c r="I73" s="86">
        <f>ведомств!O129</f>
        <v>0</v>
      </c>
      <c r="J73" s="86">
        <f t="shared" si="2"/>
        <v>760000</v>
      </c>
      <c r="K73" s="86">
        <f t="shared" si="3"/>
        <v>760000</v>
      </c>
      <c r="L73" s="86">
        <f t="shared" si="4"/>
        <v>760000</v>
      </c>
    </row>
    <row r="74" spans="1:12" hidden="1">
      <c r="A74" s="62" t="s">
        <v>69</v>
      </c>
      <c r="B74" s="36" t="s">
        <v>19</v>
      </c>
      <c r="C74" s="36" t="s">
        <v>17</v>
      </c>
      <c r="D74" s="91"/>
      <c r="E74" s="91"/>
      <c r="F74" s="91"/>
      <c r="G74" s="91"/>
      <c r="H74" s="91"/>
      <c r="I74" s="91"/>
      <c r="J74" s="91">
        <f t="shared" si="2"/>
        <v>0</v>
      </c>
      <c r="K74" s="91">
        <f t="shared" si="3"/>
        <v>0</v>
      </c>
      <c r="L74" s="91">
        <f t="shared" si="4"/>
        <v>0</v>
      </c>
    </row>
    <row r="75" spans="1:12" hidden="1">
      <c r="A75" s="78" t="s">
        <v>126</v>
      </c>
      <c r="B75" s="36" t="s">
        <v>19</v>
      </c>
      <c r="C75" s="36" t="s">
        <v>13</v>
      </c>
      <c r="D75" s="84"/>
      <c r="E75" s="84"/>
      <c r="F75" s="84"/>
      <c r="G75" s="84"/>
      <c r="H75" s="84"/>
      <c r="I75" s="84"/>
      <c r="J75" s="84">
        <f t="shared" si="2"/>
        <v>0</v>
      </c>
      <c r="K75" s="84">
        <f t="shared" si="3"/>
        <v>0</v>
      </c>
      <c r="L75" s="84">
        <f t="shared" si="4"/>
        <v>0</v>
      </c>
    </row>
    <row r="76" spans="1:12" hidden="1">
      <c r="A76" s="62"/>
      <c r="B76" s="36"/>
      <c r="C76" s="36"/>
      <c r="D76" s="91"/>
      <c r="E76" s="91"/>
      <c r="F76" s="91"/>
      <c r="G76" s="91"/>
      <c r="H76" s="91"/>
      <c r="I76" s="91"/>
      <c r="J76" s="91">
        <f t="shared" si="2"/>
        <v>0</v>
      </c>
      <c r="K76" s="91">
        <f t="shared" si="3"/>
        <v>0</v>
      </c>
      <c r="L76" s="91">
        <f t="shared" si="4"/>
        <v>0</v>
      </c>
    </row>
    <row r="77" spans="1:12" hidden="1">
      <c r="A77" s="4" t="s">
        <v>56</v>
      </c>
      <c r="B77" s="15" t="s">
        <v>31</v>
      </c>
      <c r="C77" s="1"/>
      <c r="D77" s="90">
        <f>SUM(D78)</f>
        <v>0</v>
      </c>
      <c r="E77" s="90">
        <f t="shared" ref="E77:I77" si="23">SUM(E78)</f>
        <v>0</v>
      </c>
      <c r="F77" s="90">
        <f t="shared" si="23"/>
        <v>0</v>
      </c>
      <c r="G77" s="90">
        <f t="shared" si="23"/>
        <v>0</v>
      </c>
      <c r="H77" s="90">
        <f t="shared" si="23"/>
        <v>0</v>
      </c>
      <c r="I77" s="90">
        <f t="shared" si="23"/>
        <v>0</v>
      </c>
      <c r="J77" s="90">
        <f t="shared" si="2"/>
        <v>0</v>
      </c>
      <c r="K77" s="90">
        <f t="shared" si="3"/>
        <v>0</v>
      </c>
      <c r="L77" s="90">
        <f t="shared" si="4"/>
        <v>0</v>
      </c>
    </row>
    <row r="78" spans="1:12" hidden="1">
      <c r="A78" s="62" t="s">
        <v>57</v>
      </c>
      <c r="B78" s="36" t="s">
        <v>31</v>
      </c>
      <c r="C78" s="36" t="s">
        <v>20</v>
      </c>
      <c r="D78" s="91"/>
      <c r="E78" s="91"/>
      <c r="F78" s="91"/>
      <c r="G78" s="91"/>
      <c r="H78" s="91"/>
      <c r="I78" s="91"/>
      <c r="J78" s="91">
        <f t="shared" si="2"/>
        <v>0</v>
      </c>
      <c r="K78" s="91">
        <f t="shared" si="3"/>
        <v>0</v>
      </c>
      <c r="L78" s="91">
        <f t="shared" si="4"/>
        <v>0</v>
      </c>
    </row>
    <row r="79" spans="1:12">
      <c r="A79" s="62"/>
      <c r="B79" s="36"/>
      <c r="C79" s="36"/>
      <c r="D79" s="91"/>
      <c r="E79" s="91"/>
      <c r="F79" s="91"/>
      <c r="G79" s="91"/>
      <c r="H79" s="91"/>
      <c r="I79" s="91"/>
      <c r="J79" s="91"/>
      <c r="K79" s="91"/>
      <c r="L79" s="91"/>
    </row>
    <row r="80" spans="1:12" ht="12.75" customHeight="1">
      <c r="A80" s="4" t="s">
        <v>112</v>
      </c>
      <c r="B80" s="15" t="s">
        <v>49</v>
      </c>
      <c r="C80" s="1"/>
      <c r="D80" s="90">
        <f>SUM(D81)</f>
        <v>10000</v>
      </c>
      <c r="E80" s="90">
        <f t="shared" ref="E80:I80" si="24">SUM(E81)</f>
        <v>10000</v>
      </c>
      <c r="F80" s="90">
        <f t="shared" si="24"/>
        <v>9600</v>
      </c>
      <c r="G80" s="90">
        <f t="shared" si="24"/>
        <v>0</v>
      </c>
      <c r="H80" s="90">
        <f t="shared" si="24"/>
        <v>0</v>
      </c>
      <c r="I80" s="90">
        <f t="shared" si="24"/>
        <v>0</v>
      </c>
      <c r="J80" s="90">
        <f t="shared" si="2"/>
        <v>10000</v>
      </c>
      <c r="K80" s="90">
        <f t="shared" si="3"/>
        <v>10000</v>
      </c>
      <c r="L80" s="90">
        <f t="shared" si="4"/>
        <v>9600</v>
      </c>
    </row>
    <row r="81" spans="1:13">
      <c r="A81" s="62" t="s">
        <v>261</v>
      </c>
      <c r="B81" s="36" t="s">
        <v>49</v>
      </c>
      <c r="C81" s="36" t="s">
        <v>20</v>
      </c>
      <c r="D81" s="91">
        <f>ведомств!J722</f>
        <v>10000</v>
      </c>
      <c r="E81" s="91">
        <f>ведомств!K722</f>
        <v>10000</v>
      </c>
      <c r="F81" s="91">
        <f>ведомств!L722</f>
        <v>9600</v>
      </c>
      <c r="G81" s="91">
        <f>ведомств!M722</f>
        <v>0</v>
      </c>
      <c r="H81" s="91">
        <f>ведомств!N722</f>
        <v>0</v>
      </c>
      <c r="I81" s="91">
        <f>ведомств!O722</f>
        <v>0</v>
      </c>
      <c r="J81" s="91">
        <f t="shared" si="2"/>
        <v>10000</v>
      </c>
      <c r="K81" s="91">
        <f t="shared" si="3"/>
        <v>10000</v>
      </c>
      <c r="L81" s="91">
        <f t="shared" si="4"/>
        <v>9600</v>
      </c>
    </row>
    <row r="82" spans="1:13">
      <c r="A82" s="185" t="s">
        <v>389</v>
      </c>
      <c r="B82" s="186"/>
      <c r="C82" s="187"/>
      <c r="D82" s="188"/>
      <c r="E82" s="188">
        <f>ведомств!K752</f>
        <v>16087000</v>
      </c>
      <c r="F82" s="188">
        <f>ведомств!L752</f>
        <v>32828000</v>
      </c>
      <c r="G82" s="188">
        <f>ведомств!M752</f>
        <v>0</v>
      </c>
      <c r="H82" s="188">
        <f>ведомств!N752</f>
        <v>0</v>
      </c>
      <c r="I82" s="188">
        <f>ведомств!O752</f>
        <v>0</v>
      </c>
      <c r="J82" s="188">
        <f t="shared" ref="J82:J83" si="25">D82+G82</f>
        <v>0</v>
      </c>
      <c r="K82" s="188">
        <f t="shared" ref="K82:K83" si="26">E82+H82</f>
        <v>16087000</v>
      </c>
      <c r="L82" s="188">
        <f t="shared" ref="L82:L83" si="27">F82+I82</f>
        <v>32828000</v>
      </c>
    </row>
    <row r="83" spans="1:13" ht="15">
      <c r="A83" s="67" t="s">
        <v>279</v>
      </c>
      <c r="B83" s="68"/>
      <c r="C83" s="69"/>
      <c r="D83" s="89">
        <f>+D17+D27+D30+D36+D48+D42+D52+D59+D66+D72+D77+D80+D63+D82</f>
        <v>975148001.93999994</v>
      </c>
      <c r="E83" s="89">
        <f t="shared" ref="E83:F83" si="28">+E17+E27+E30+E36+E48+E42+E52+E59+E66+E72+E77+E80+E63+E82</f>
        <v>900335165.51999998</v>
      </c>
      <c r="F83" s="89">
        <f t="shared" si="28"/>
        <v>922464352.67999995</v>
      </c>
      <c r="G83" s="89">
        <f t="shared" ref="G83:I83" si="29">+G17+G27+G30+G36+G48+G42+G52+G59+G66+G72+G77+G80+G63+G82</f>
        <v>101114287.67000002</v>
      </c>
      <c r="H83" s="89">
        <f t="shared" si="29"/>
        <v>771777.1599999998</v>
      </c>
      <c r="I83" s="89">
        <f t="shared" si="29"/>
        <v>-1690538.9500000002</v>
      </c>
      <c r="J83" s="89">
        <f t="shared" si="25"/>
        <v>1076262289.6099999</v>
      </c>
      <c r="K83" s="89">
        <f t="shared" si="26"/>
        <v>901106942.67999995</v>
      </c>
      <c r="L83" s="89">
        <f t="shared" si="27"/>
        <v>920773813.7299999</v>
      </c>
      <c r="M83" t="s">
        <v>416</v>
      </c>
    </row>
  </sheetData>
  <mergeCells count="7">
    <mergeCell ref="A11:L11"/>
    <mergeCell ref="G13:I13"/>
    <mergeCell ref="J13:L13"/>
    <mergeCell ref="D13:F13"/>
    <mergeCell ref="A13:A14"/>
    <mergeCell ref="B13:B14"/>
    <mergeCell ref="C13:C14"/>
  </mergeCells>
  <phoneticPr fontId="0" type="noConversion"/>
  <pageMargins left="0.59055118110236227" right="0.19685039370078741" top="0.39370078740157483" bottom="0.39370078740157483" header="0.51181102362204722" footer="0.39370078740157483"/>
  <pageSetup paperSize="9" scale="69" fitToHeight="2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S789"/>
  <sheetViews>
    <sheetView tabSelected="1" zoomScaleNormal="100" workbookViewId="0">
      <pane xSplit="12" ySplit="16" topLeftCell="M631" activePane="bottomRight" state="frozen"/>
      <selection pane="topRight" activeCell="M1" sqref="M1"/>
      <selection pane="bottomLeft" activeCell="A17" sqref="A17"/>
      <selection pane="bottomRight" activeCell="R4" sqref="R4"/>
    </sheetView>
  </sheetViews>
  <sheetFormatPr defaultRowHeight="12.75"/>
  <cols>
    <col min="1" max="1" width="69.7109375" customWidth="1"/>
    <col min="2" max="2" width="6.140625" customWidth="1"/>
    <col min="3" max="3" width="5.140625" customWidth="1"/>
    <col min="4" max="4" width="5.28515625" customWidth="1"/>
    <col min="5" max="5" width="3.5703125" style="109" customWidth="1"/>
    <col min="6" max="7" width="3.5703125" customWidth="1"/>
    <col min="8" max="8" width="7" customWidth="1"/>
    <col min="9" max="9" width="6.28515625" customWidth="1"/>
    <col min="10" max="10" width="20" style="85" hidden="1" customWidth="1"/>
    <col min="11" max="11" width="19.5703125" hidden="1" customWidth="1"/>
    <col min="12" max="12" width="20.85546875" hidden="1" customWidth="1"/>
    <col min="13" max="13" width="16.42578125" hidden="1" customWidth="1"/>
    <col min="14" max="14" width="16.7109375" hidden="1" customWidth="1"/>
    <col min="15" max="15" width="16.5703125" hidden="1" customWidth="1"/>
    <col min="16" max="16" width="19.42578125" customWidth="1"/>
    <col min="17" max="17" width="20.140625" customWidth="1"/>
    <col min="18" max="18" width="19.28515625" customWidth="1"/>
    <col min="19" max="19" width="1.42578125" customWidth="1"/>
  </cols>
  <sheetData>
    <row r="1" spans="1:18">
      <c r="R1" s="193" t="s">
        <v>273</v>
      </c>
    </row>
    <row r="2" spans="1:18">
      <c r="R2" s="61" t="s">
        <v>43</v>
      </c>
    </row>
    <row r="3" spans="1:18">
      <c r="R3" s="61" t="s">
        <v>401</v>
      </c>
    </row>
    <row r="4" spans="1:18">
      <c r="R4" s="193" t="s">
        <v>436</v>
      </c>
    </row>
    <row r="6" spans="1:18">
      <c r="L6" s="64"/>
      <c r="R6" s="64" t="s">
        <v>415</v>
      </c>
    </row>
    <row r="7" spans="1:18">
      <c r="L7" s="61"/>
      <c r="R7" s="61" t="s">
        <v>43</v>
      </c>
    </row>
    <row r="8" spans="1:18">
      <c r="L8" s="61"/>
      <c r="R8" s="61" t="s">
        <v>401</v>
      </c>
    </row>
    <row r="9" spans="1:18">
      <c r="L9" s="64"/>
      <c r="R9" s="64" t="s">
        <v>413</v>
      </c>
    </row>
    <row r="10" spans="1:18">
      <c r="J10" s="120"/>
    </row>
    <row r="11" spans="1:18" ht="16.5" customHeight="1">
      <c r="A11" s="214" t="s">
        <v>392</v>
      </c>
      <c r="B11" s="214"/>
      <c r="C11" s="214"/>
      <c r="D11" s="214"/>
      <c r="E11" s="214"/>
      <c r="F11" s="214"/>
      <c r="G11" s="214"/>
      <c r="H11" s="214"/>
      <c r="I11" s="214"/>
      <c r="J11" s="214"/>
      <c r="K11" s="200"/>
      <c r="L11" s="200"/>
      <c r="M11" s="200"/>
      <c r="N11" s="200"/>
      <c r="O11" s="200"/>
      <c r="P11" s="200"/>
      <c r="Q11" s="200"/>
      <c r="R11" s="200"/>
    </row>
    <row r="12" spans="1:18">
      <c r="L12" s="125"/>
    </row>
    <row r="13" spans="1:18" ht="55.5" customHeight="1">
      <c r="A13" s="208" t="s">
        <v>10</v>
      </c>
      <c r="B13" s="218" t="s">
        <v>40</v>
      </c>
      <c r="C13" s="210" t="s">
        <v>11</v>
      </c>
      <c r="D13" s="210" t="s">
        <v>12</v>
      </c>
      <c r="E13" s="219" t="s">
        <v>9</v>
      </c>
      <c r="F13" s="220"/>
      <c r="G13" s="220"/>
      <c r="H13" s="221"/>
      <c r="I13" s="212" t="s">
        <v>48</v>
      </c>
      <c r="J13" s="206" t="s">
        <v>398</v>
      </c>
      <c r="K13" s="207"/>
      <c r="L13" s="207"/>
      <c r="M13" s="201" t="s">
        <v>414</v>
      </c>
      <c r="N13" s="202"/>
      <c r="O13" s="203"/>
      <c r="P13" s="202" t="s">
        <v>398</v>
      </c>
      <c r="Q13" s="204"/>
      <c r="R13" s="205"/>
    </row>
    <row r="14" spans="1:18" ht="15.75">
      <c r="A14" s="209"/>
      <c r="B14" s="211"/>
      <c r="C14" s="211"/>
      <c r="D14" s="211"/>
      <c r="E14" s="222"/>
      <c r="F14" s="223"/>
      <c r="G14" s="223"/>
      <c r="H14" s="224"/>
      <c r="I14" s="213"/>
      <c r="J14" s="154" t="s">
        <v>276</v>
      </c>
      <c r="K14" s="154" t="s">
        <v>277</v>
      </c>
      <c r="L14" s="154" t="s">
        <v>278</v>
      </c>
      <c r="M14" s="154" t="s">
        <v>276</v>
      </c>
      <c r="N14" s="154" t="s">
        <v>277</v>
      </c>
      <c r="O14" s="154" t="s">
        <v>278</v>
      </c>
      <c r="P14" s="154" t="s">
        <v>276</v>
      </c>
      <c r="Q14" s="154" t="s">
        <v>277</v>
      </c>
      <c r="R14" s="154" t="s">
        <v>278</v>
      </c>
    </row>
    <row r="15" spans="1:18">
      <c r="A15" s="8">
        <v>1</v>
      </c>
      <c r="B15" s="23">
        <v>2</v>
      </c>
      <c r="C15" s="23">
        <v>3</v>
      </c>
      <c r="D15" s="23">
        <v>4</v>
      </c>
      <c r="E15" s="215">
        <v>5</v>
      </c>
      <c r="F15" s="216"/>
      <c r="G15" s="216"/>
      <c r="H15" s="217"/>
      <c r="I15" s="82" t="s">
        <v>67</v>
      </c>
      <c r="J15" s="153" t="s">
        <v>38</v>
      </c>
      <c r="K15" s="155">
        <v>8</v>
      </c>
      <c r="L15" s="155">
        <v>9</v>
      </c>
      <c r="M15" s="153"/>
      <c r="N15" s="155"/>
      <c r="O15" s="155"/>
      <c r="P15" s="198">
        <v>7</v>
      </c>
      <c r="Q15" s="155">
        <v>8</v>
      </c>
      <c r="R15" s="155">
        <v>9</v>
      </c>
    </row>
    <row r="16" spans="1:18">
      <c r="A16" s="20"/>
      <c r="B16" s="39"/>
      <c r="C16" s="21"/>
      <c r="D16" s="21"/>
      <c r="E16" s="107"/>
      <c r="F16" s="21"/>
      <c r="G16" s="21"/>
      <c r="H16" s="21"/>
      <c r="I16" s="21"/>
      <c r="J16" s="87"/>
      <c r="K16" s="87"/>
      <c r="L16" s="87"/>
      <c r="M16" s="87"/>
      <c r="N16" s="87"/>
      <c r="O16" s="87"/>
      <c r="P16" s="87"/>
      <c r="Q16" s="87"/>
      <c r="R16" s="87"/>
    </row>
    <row r="17" spans="1:18" ht="38.25">
      <c r="A17" s="50" t="s">
        <v>405</v>
      </c>
      <c r="B17" s="47" t="s">
        <v>42</v>
      </c>
      <c r="C17" s="45"/>
      <c r="D17" s="45"/>
      <c r="E17" s="45"/>
      <c r="F17" s="45"/>
      <c r="G17" s="45"/>
      <c r="H17" s="45"/>
      <c r="I17" s="44"/>
      <c r="J17" s="110">
        <f>J18+J33+J56+J128+J121</f>
        <v>135740340.83000001</v>
      </c>
      <c r="K17" s="110">
        <f>K18+K33+K56+K128+K121</f>
        <v>136248036.34999999</v>
      </c>
      <c r="L17" s="110">
        <f>L18+L33+L56+L128+L121</f>
        <v>135236917.69999999</v>
      </c>
      <c r="M17" s="110">
        <f t="shared" ref="M17:O17" si="0">M18+M33+M56+M128+M121</f>
        <v>5370873.4300000006</v>
      </c>
      <c r="N17" s="110">
        <f t="shared" si="0"/>
        <v>-32430.240000000002</v>
      </c>
      <c r="O17" s="110">
        <f t="shared" si="0"/>
        <v>262382.61</v>
      </c>
      <c r="P17" s="110">
        <f>J17+M17</f>
        <v>141111214.26000002</v>
      </c>
      <c r="Q17" s="110">
        <f>K17+N17</f>
        <v>136215606.10999998</v>
      </c>
      <c r="R17" s="110">
        <f>L17+O17</f>
        <v>135499300.31</v>
      </c>
    </row>
    <row r="18" spans="1:18" ht="15" customHeight="1">
      <c r="A18" s="25" t="s">
        <v>32</v>
      </c>
      <c r="B18" s="30" t="s">
        <v>42</v>
      </c>
      <c r="C18" s="30" t="s">
        <v>20</v>
      </c>
      <c r="D18" s="31"/>
      <c r="E18" s="31"/>
      <c r="F18" s="31"/>
      <c r="G18" s="31"/>
      <c r="H18" s="31"/>
      <c r="I18" s="32"/>
      <c r="J18" s="111">
        <f>+J19</f>
        <v>2185586.02</v>
      </c>
      <c r="K18" s="111">
        <f t="shared" ref="K18:O18" si="1">+K19</f>
        <v>2077586.02</v>
      </c>
      <c r="L18" s="111">
        <f t="shared" si="1"/>
        <v>1258350.33</v>
      </c>
      <c r="M18" s="111">
        <f t="shared" si="1"/>
        <v>213001.28</v>
      </c>
      <c r="N18" s="111">
        <f t="shared" si="1"/>
        <v>0</v>
      </c>
      <c r="O18" s="111">
        <f t="shared" si="1"/>
        <v>0</v>
      </c>
      <c r="P18" s="111">
        <f t="shared" ref="P18:P84" si="2">J18+M18</f>
        <v>2398587.2999999998</v>
      </c>
      <c r="Q18" s="111">
        <f t="shared" ref="Q18:Q84" si="3">K18+N18</f>
        <v>2077586.02</v>
      </c>
      <c r="R18" s="111">
        <f t="shared" ref="R18:R84" si="4">L18+O18</f>
        <v>1258350.33</v>
      </c>
    </row>
    <row r="19" spans="1:18">
      <c r="A19" s="4" t="s">
        <v>1</v>
      </c>
      <c r="B19" s="14" t="s">
        <v>42</v>
      </c>
      <c r="C19" s="15" t="s">
        <v>20</v>
      </c>
      <c r="D19" s="15" t="s">
        <v>49</v>
      </c>
      <c r="E19" s="15"/>
      <c r="F19" s="15"/>
      <c r="G19" s="15"/>
      <c r="H19" s="1"/>
      <c r="I19" s="13"/>
      <c r="J19" s="112">
        <f>+J20+J24+J28</f>
        <v>2185586.02</v>
      </c>
      <c r="K19" s="112">
        <f t="shared" ref="K19:L19" si="5">+K20+K24+K28</f>
        <v>2077586.02</v>
      </c>
      <c r="L19" s="112">
        <f t="shared" si="5"/>
        <v>1258350.33</v>
      </c>
      <c r="M19" s="112">
        <f t="shared" ref="M19:O19" si="6">+M20+M24+M28</f>
        <v>213001.28</v>
      </c>
      <c r="N19" s="112">
        <f t="shared" si="6"/>
        <v>0</v>
      </c>
      <c r="O19" s="112">
        <f t="shared" si="6"/>
        <v>0</v>
      </c>
      <c r="P19" s="112">
        <f t="shared" si="2"/>
        <v>2398587.2999999998</v>
      </c>
      <c r="Q19" s="112">
        <f t="shared" si="3"/>
        <v>2077586.02</v>
      </c>
      <c r="R19" s="112">
        <f t="shared" si="4"/>
        <v>1258350.33</v>
      </c>
    </row>
    <row r="20" spans="1:18" ht="25.5">
      <c r="A20" s="80" t="s">
        <v>281</v>
      </c>
      <c r="B20" s="66" t="s">
        <v>42</v>
      </c>
      <c r="C20" s="1" t="s">
        <v>20</v>
      </c>
      <c r="D20" s="1" t="s">
        <v>49</v>
      </c>
      <c r="E20" s="1" t="s">
        <v>16</v>
      </c>
      <c r="F20" s="1" t="s">
        <v>70</v>
      </c>
      <c r="G20" s="1" t="s">
        <v>148</v>
      </c>
      <c r="H20" s="1" t="s">
        <v>149</v>
      </c>
      <c r="I20" s="13"/>
      <c r="J20" s="116">
        <f>J21</f>
        <v>50000</v>
      </c>
      <c r="K20" s="116">
        <f t="shared" ref="K20:O20" si="7">K21</f>
        <v>50000</v>
      </c>
      <c r="L20" s="116">
        <f t="shared" si="7"/>
        <v>50000</v>
      </c>
      <c r="M20" s="116">
        <f t="shared" si="7"/>
        <v>0</v>
      </c>
      <c r="N20" s="116">
        <f t="shared" si="7"/>
        <v>0</v>
      </c>
      <c r="O20" s="116">
        <f t="shared" si="7"/>
        <v>0</v>
      </c>
      <c r="P20" s="116">
        <f t="shared" si="2"/>
        <v>50000</v>
      </c>
      <c r="Q20" s="116">
        <f t="shared" si="3"/>
        <v>50000</v>
      </c>
      <c r="R20" s="116">
        <f t="shared" si="4"/>
        <v>50000</v>
      </c>
    </row>
    <row r="21" spans="1:18">
      <c r="A21" s="127" t="s">
        <v>315</v>
      </c>
      <c r="B21" s="66" t="s">
        <v>42</v>
      </c>
      <c r="C21" s="1" t="s">
        <v>20</v>
      </c>
      <c r="D21" s="1" t="s">
        <v>49</v>
      </c>
      <c r="E21" s="1" t="s">
        <v>16</v>
      </c>
      <c r="F21" s="1" t="s">
        <v>70</v>
      </c>
      <c r="G21" s="1" t="s">
        <v>148</v>
      </c>
      <c r="H21" s="1" t="s">
        <v>190</v>
      </c>
      <c r="I21" s="13"/>
      <c r="J21" s="116">
        <f t="shared" ref="J21:O22" si="8">J22</f>
        <v>50000</v>
      </c>
      <c r="K21" s="116">
        <f t="shared" si="8"/>
        <v>50000</v>
      </c>
      <c r="L21" s="116">
        <f t="shared" si="8"/>
        <v>50000</v>
      </c>
      <c r="M21" s="116">
        <f t="shared" si="8"/>
        <v>0</v>
      </c>
      <c r="N21" s="116">
        <f t="shared" si="8"/>
        <v>0</v>
      </c>
      <c r="O21" s="116">
        <f t="shared" si="8"/>
        <v>0</v>
      </c>
      <c r="P21" s="116">
        <f t="shared" si="2"/>
        <v>50000</v>
      </c>
      <c r="Q21" s="116">
        <f t="shared" si="3"/>
        <v>50000</v>
      </c>
      <c r="R21" s="116">
        <f t="shared" si="4"/>
        <v>50000</v>
      </c>
    </row>
    <row r="22" spans="1:18" ht="25.5">
      <c r="A22" s="80" t="s">
        <v>260</v>
      </c>
      <c r="B22" s="66" t="s">
        <v>42</v>
      </c>
      <c r="C22" s="1" t="s">
        <v>20</v>
      </c>
      <c r="D22" s="1" t="s">
        <v>49</v>
      </c>
      <c r="E22" s="1" t="s">
        <v>16</v>
      </c>
      <c r="F22" s="1" t="s">
        <v>70</v>
      </c>
      <c r="G22" s="1" t="s">
        <v>148</v>
      </c>
      <c r="H22" s="1" t="s">
        <v>190</v>
      </c>
      <c r="I22" s="13" t="s">
        <v>94</v>
      </c>
      <c r="J22" s="116">
        <f t="shared" si="8"/>
        <v>50000</v>
      </c>
      <c r="K22" s="116">
        <f t="shared" si="8"/>
        <v>50000</v>
      </c>
      <c r="L22" s="116">
        <f t="shared" si="8"/>
        <v>50000</v>
      </c>
      <c r="M22" s="116">
        <f t="shared" si="8"/>
        <v>0</v>
      </c>
      <c r="N22" s="116">
        <f t="shared" si="8"/>
        <v>0</v>
      </c>
      <c r="O22" s="116">
        <f t="shared" si="8"/>
        <v>0</v>
      </c>
      <c r="P22" s="116">
        <f t="shared" si="2"/>
        <v>50000</v>
      </c>
      <c r="Q22" s="116">
        <f t="shared" si="3"/>
        <v>50000</v>
      </c>
      <c r="R22" s="116">
        <f t="shared" si="4"/>
        <v>50000</v>
      </c>
    </row>
    <row r="23" spans="1:18" ht="25.5">
      <c r="A23" s="78" t="s">
        <v>98</v>
      </c>
      <c r="B23" s="66" t="s">
        <v>42</v>
      </c>
      <c r="C23" s="1" t="s">
        <v>20</v>
      </c>
      <c r="D23" s="1" t="s">
        <v>49</v>
      </c>
      <c r="E23" s="1" t="s">
        <v>16</v>
      </c>
      <c r="F23" s="1" t="s">
        <v>70</v>
      </c>
      <c r="G23" s="1" t="s">
        <v>148</v>
      </c>
      <c r="H23" s="1" t="s">
        <v>190</v>
      </c>
      <c r="I23" s="13" t="s">
        <v>95</v>
      </c>
      <c r="J23" s="116">
        <v>50000</v>
      </c>
      <c r="K23" s="116">
        <v>50000</v>
      </c>
      <c r="L23" s="116">
        <v>50000</v>
      </c>
      <c r="M23" s="116"/>
      <c r="N23" s="116"/>
      <c r="O23" s="116"/>
      <c r="P23" s="116">
        <f t="shared" si="2"/>
        <v>50000</v>
      </c>
      <c r="Q23" s="116">
        <f t="shared" si="3"/>
        <v>50000</v>
      </c>
      <c r="R23" s="116">
        <f t="shared" si="4"/>
        <v>50000</v>
      </c>
    </row>
    <row r="24" spans="1:18" ht="38.25">
      <c r="A24" s="2" t="s">
        <v>310</v>
      </c>
      <c r="B24" s="66" t="s">
        <v>42</v>
      </c>
      <c r="C24" s="10" t="s">
        <v>20</v>
      </c>
      <c r="D24" s="1" t="s">
        <v>49</v>
      </c>
      <c r="E24" s="1" t="s">
        <v>30</v>
      </c>
      <c r="F24" s="1" t="s">
        <v>70</v>
      </c>
      <c r="G24" s="1" t="s">
        <v>148</v>
      </c>
      <c r="H24" s="1" t="s">
        <v>149</v>
      </c>
      <c r="I24" s="13"/>
      <c r="J24" s="113">
        <f>J25</f>
        <v>2035586.02</v>
      </c>
      <c r="K24" s="113">
        <f t="shared" ref="J24:O26" si="9">K25</f>
        <v>1927586.02</v>
      </c>
      <c r="L24" s="113">
        <f t="shared" si="9"/>
        <v>1108350.33</v>
      </c>
      <c r="M24" s="113">
        <f t="shared" si="9"/>
        <v>213001.28</v>
      </c>
      <c r="N24" s="113">
        <f t="shared" si="9"/>
        <v>0</v>
      </c>
      <c r="O24" s="113">
        <f t="shared" si="9"/>
        <v>0</v>
      </c>
      <c r="P24" s="113">
        <f t="shared" si="2"/>
        <v>2248587.2999999998</v>
      </c>
      <c r="Q24" s="113">
        <f t="shared" si="3"/>
        <v>1927586.02</v>
      </c>
      <c r="R24" s="113">
        <f t="shared" si="4"/>
        <v>1108350.33</v>
      </c>
    </row>
    <row r="25" spans="1:18" ht="25.5">
      <c r="A25" s="2" t="s">
        <v>308</v>
      </c>
      <c r="B25" s="66" t="s">
        <v>42</v>
      </c>
      <c r="C25" s="10" t="s">
        <v>20</v>
      </c>
      <c r="D25" s="1" t="s">
        <v>49</v>
      </c>
      <c r="E25" s="1" t="s">
        <v>30</v>
      </c>
      <c r="F25" s="1" t="s">
        <v>70</v>
      </c>
      <c r="G25" s="1" t="s">
        <v>148</v>
      </c>
      <c r="H25" s="1" t="s">
        <v>309</v>
      </c>
      <c r="I25" s="13"/>
      <c r="J25" s="84">
        <f t="shared" si="9"/>
        <v>2035586.02</v>
      </c>
      <c r="K25" s="84">
        <f t="shared" si="9"/>
        <v>1927586.02</v>
      </c>
      <c r="L25" s="84">
        <f t="shared" si="9"/>
        <v>1108350.33</v>
      </c>
      <c r="M25" s="84">
        <f t="shared" si="9"/>
        <v>213001.28</v>
      </c>
      <c r="N25" s="84">
        <f t="shared" si="9"/>
        <v>0</v>
      </c>
      <c r="O25" s="84">
        <f t="shared" si="9"/>
        <v>0</v>
      </c>
      <c r="P25" s="84">
        <f t="shared" si="2"/>
        <v>2248587.2999999998</v>
      </c>
      <c r="Q25" s="84">
        <f t="shared" si="3"/>
        <v>1927586.02</v>
      </c>
      <c r="R25" s="84">
        <f t="shared" si="4"/>
        <v>1108350.33</v>
      </c>
    </row>
    <row r="26" spans="1:18" ht="25.5">
      <c r="A26" s="80" t="s">
        <v>260</v>
      </c>
      <c r="B26" s="66" t="s">
        <v>42</v>
      </c>
      <c r="C26" s="10" t="s">
        <v>20</v>
      </c>
      <c r="D26" s="1" t="s">
        <v>49</v>
      </c>
      <c r="E26" s="1" t="s">
        <v>30</v>
      </c>
      <c r="F26" s="1" t="s">
        <v>70</v>
      </c>
      <c r="G26" s="1" t="s">
        <v>148</v>
      </c>
      <c r="H26" s="1" t="s">
        <v>309</v>
      </c>
      <c r="I26" s="13" t="s">
        <v>94</v>
      </c>
      <c r="J26" s="84">
        <f t="shared" si="9"/>
        <v>2035586.02</v>
      </c>
      <c r="K26" s="84">
        <f t="shared" si="9"/>
        <v>1927586.02</v>
      </c>
      <c r="L26" s="84">
        <f t="shared" si="9"/>
        <v>1108350.33</v>
      </c>
      <c r="M26" s="84">
        <f t="shared" si="9"/>
        <v>213001.28</v>
      </c>
      <c r="N26" s="84">
        <f t="shared" si="9"/>
        <v>0</v>
      </c>
      <c r="O26" s="84">
        <f t="shared" si="9"/>
        <v>0</v>
      </c>
      <c r="P26" s="84">
        <f t="shared" si="2"/>
        <v>2248587.2999999998</v>
      </c>
      <c r="Q26" s="84">
        <f t="shared" si="3"/>
        <v>1927586.02</v>
      </c>
      <c r="R26" s="84">
        <f t="shared" si="4"/>
        <v>1108350.33</v>
      </c>
    </row>
    <row r="27" spans="1:18" ht="25.5">
      <c r="A27" s="78" t="s">
        <v>98</v>
      </c>
      <c r="B27" s="66" t="s">
        <v>42</v>
      </c>
      <c r="C27" s="10" t="s">
        <v>20</v>
      </c>
      <c r="D27" s="1" t="s">
        <v>49</v>
      </c>
      <c r="E27" s="1" t="s">
        <v>30</v>
      </c>
      <c r="F27" s="1" t="s">
        <v>70</v>
      </c>
      <c r="G27" s="1" t="s">
        <v>148</v>
      </c>
      <c r="H27" s="1" t="s">
        <v>309</v>
      </c>
      <c r="I27" s="13" t="s">
        <v>95</v>
      </c>
      <c r="J27" s="84">
        <f>1515586.02+520000</f>
        <v>2035586.02</v>
      </c>
      <c r="K27" s="84">
        <f>1515586.02+412000</f>
        <v>1927586.02</v>
      </c>
      <c r="L27" s="113">
        <f>696350.33+412000</f>
        <v>1108350.33</v>
      </c>
      <c r="M27" s="84">
        <v>213001.28</v>
      </c>
      <c r="N27" s="84"/>
      <c r="O27" s="113"/>
      <c r="P27" s="84">
        <f t="shared" si="2"/>
        <v>2248587.2999999998</v>
      </c>
      <c r="Q27" s="84">
        <f t="shared" si="3"/>
        <v>1927586.02</v>
      </c>
      <c r="R27" s="113">
        <f t="shared" si="4"/>
        <v>1108350.33</v>
      </c>
    </row>
    <row r="28" spans="1:18" ht="38.25">
      <c r="A28" s="78" t="s">
        <v>318</v>
      </c>
      <c r="B28" s="66" t="s">
        <v>42</v>
      </c>
      <c r="C28" s="10" t="s">
        <v>20</v>
      </c>
      <c r="D28" s="1" t="s">
        <v>49</v>
      </c>
      <c r="E28" s="1" t="s">
        <v>316</v>
      </c>
      <c r="F28" s="1" t="s">
        <v>70</v>
      </c>
      <c r="G28" s="1" t="s">
        <v>148</v>
      </c>
      <c r="H28" s="1" t="s">
        <v>149</v>
      </c>
      <c r="I28" s="13"/>
      <c r="J28" s="84">
        <f>J29</f>
        <v>100000</v>
      </c>
      <c r="K28" s="84">
        <f t="shared" ref="K28:O30" si="10">K29</f>
        <v>100000</v>
      </c>
      <c r="L28" s="84">
        <f t="shared" si="10"/>
        <v>100000</v>
      </c>
      <c r="M28" s="84">
        <f t="shared" si="10"/>
        <v>0</v>
      </c>
      <c r="N28" s="84">
        <f t="shared" si="10"/>
        <v>0</v>
      </c>
      <c r="O28" s="84">
        <f t="shared" si="10"/>
        <v>0</v>
      </c>
      <c r="P28" s="84">
        <f t="shared" si="2"/>
        <v>100000</v>
      </c>
      <c r="Q28" s="84">
        <f t="shared" si="3"/>
        <v>100000</v>
      </c>
      <c r="R28" s="84">
        <f t="shared" si="4"/>
        <v>100000</v>
      </c>
    </row>
    <row r="29" spans="1:18" ht="25.5">
      <c r="A29" s="78" t="s">
        <v>368</v>
      </c>
      <c r="B29" s="66" t="s">
        <v>42</v>
      </c>
      <c r="C29" s="10" t="s">
        <v>20</v>
      </c>
      <c r="D29" s="1" t="s">
        <v>49</v>
      </c>
      <c r="E29" s="1" t="s">
        <v>316</v>
      </c>
      <c r="F29" s="1" t="s">
        <v>70</v>
      </c>
      <c r="G29" s="1" t="s">
        <v>148</v>
      </c>
      <c r="H29" s="1" t="s">
        <v>317</v>
      </c>
      <c r="I29" s="13"/>
      <c r="J29" s="84">
        <f>J30</f>
        <v>100000</v>
      </c>
      <c r="K29" s="84">
        <f t="shared" si="10"/>
        <v>100000</v>
      </c>
      <c r="L29" s="84">
        <f t="shared" si="10"/>
        <v>100000</v>
      </c>
      <c r="M29" s="84">
        <f t="shared" si="10"/>
        <v>0</v>
      </c>
      <c r="N29" s="84">
        <f t="shared" si="10"/>
        <v>0</v>
      </c>
      <c r="O29" s="84">
        <f t="shared" si="10"/>
        <v>0</v>
      </c>
      <c r="P29" s="84">
        <f t="shared" si="2"/>
        <v>100000</v>
      </c>
      <c r="Q29" s="84">
        <f t="shared" si="3"/>
        <v>100000</v>
      </c>
      <c r="R29" s="84">
        <f t="shared" si="4"/>
        <v>100000</v>
      </c>
    </row>
    <row r="30" spans="1:18" ht="25.5">
      <c r="A30" s="80" t="s">
        <v>260</v>
      </c>
      <c r="B30" s="66" t="s">
        <v>42</v>
      </c>
      <c r="C30" s="10" t="s">
        <v>20</v>
      </c>
      <c r="D30" s="1" t="s">
        <v>49</v>
      </c>
      <c r="E30" s="1" t="s">
        <v>316</v>
      </c>
      <c r="F30" s="1" t="s">
        <v>70</v>
      </c>
      <c r="G30" s="1" t="s">
        <v>148</v>
      </c>
      <c r="H30" s="1" t="s">
        <v>317</v>
      </c>
      <c r="I30" s="13" t="s">
        <v>94</v>
      </c>
      <c r="J30" s="84">
        <f>J31</f>
        <v>100000</v>
      </c>
      <c r="K30" s="84">
        <f t="shared" si="10"/>
        <v>100000</v>
      </c>
      <c r="L30" s="84">
        <f t="shared" si="10"/>
        <v>100000</v>
      </c>
      <c r="M30" s="84">
        <f t="shared" si="10"/>
        <v>0</v>
      </c>
      <c r="N30" s="84">
        <f t="shared" si="10"/>
        <v>0</v>
      </c>
      <c r="O30" s="84">
        <f t="shared" si="10"/>
        <v>0</v>
      </c>
      <c r="P30" s="84">
        <f t="shared" si="2"/>
        <v>100000</v>
      </c>
      <c r="Q30" s="84">
        <f t="shared" si="3"/>
        <v>100000</v>
      </c>
      <c r="R30" s="84">
        <f t="shared" si="4"/>
        <v>100000</v>
      </c>
    </row>
    <row r="31" spans="1:18" ht="25.5">
      <c r="A31" s="78" t="s">
        <v>98</v>
      </c>
      <c r="B31" s="66" t="s">
        <v>42</v>
      </c>
      <c r="C31" s="10" t="s">
        <v>20</v>
      </c>
      <c r="D31" s="1" t="s">
        <v>49</v>
      </c>
      <c r="E31" s="1" t="s">
        <v>316</v>
      </c>
      <c r="F31" s="1" t="s">
        <v>70</v>
      </c>
      <c r="G31" s="1" t="s">
        <v>148</v>
      </c>
      <c r="H31" s="1" t="s">
        <v>317</v>
      </c>
      <c r="I31" s="13" t="s">
        <v>95</v>
      </c>
      <c r="J31" s="84">
        <v>100000</v>
      </c>
      <c r="K31" s="84">
        <v>100000</v>
      </c>
      <c r="L31" s="113">
        <v>100000</v>
      </c>
      <c r="M31" s="84"/>
      <c r="N31" s="84"/>
      <c r="O31" s="113"/>
      <c r="P31" s="84">
        <f t="shared" si="2"/>
        <v>100000</v>
      </c>
      <c r="Q31" s="84">
        <f t="shared" si="3"/>
        <v>100000</v>
      </c>
      <c r="R31" s="113">
        <f t="shared" si="4"/>
        <v>100000</v>
      </c>
    </row>
    <row r="32" spans="1:18">
      <c r="A32" s="78"/>
      <c r="B32" s="66"/>
      <c r="C32" s="10"/>
      <c r="D32" s="1"/>
      <c r="E32" s="1"/>
      <c r="F32" s="1"/>
      <c r="G32" s="1"/>
      <c r="H32" s="1"/>
      <c r="I32" s="13"/>
      <c r="J32" s="84"/>
      <c r="K32" s="84"/>
      <c r="L32" s="113"/>
      <c r="M32" s="84"/>
      <c r="N32" s="84"/>
      <c r="O32" s="113"/>
      <c r="P32" s="84"/>
      <c r="Q32" s="84"/>
      <c r="R32" s="113"/>
    </row>
    <row r="33" spans="1:18" ht="15.75">
      <c r="A33" s="25" t="s">
        <v>24</v>
      </c>
      <c r="B33" s="30" t="s">
        <v>42</v>
      </c>
      <c r="C33" s="30" t="s">
        <v>2</v>
      </c>
      <c r="D33" s="31"/>
      <c r="E33" s="31"/>
      <c r="F33" s="31"/>
      <c r="G33" s="31"/>
      <c r="H33" s="31"/>
      <c r="I33" s="32"/>
      <c r="J33" s="111">
        <f>J34+J50</f>
        <v>17889682</v>
      </c>
      <c r="K33" s="111">
        <f t="shared" ref="K33:L33" si="11">K34+K50</f>
        <v>18154242.760000002</v>
      </c>
      <c r="L33" s="111">
        <f t="shared" si="11"/>
        <v>17937946.07</v>
      </c>
      <c r="M33" s="111">
        <f t="shared" ref="M33:O33" si="12">M34+M50</f>
        <v>0</v>
      </c>
      <c r="N33" s="111">
        <f t="shared" si="12"/>
        <v>0</v>
      </c>
      <c r="O33" s="111">
        <f t="shared" si="12"/>
        <v>0</v>
      </c>
      <c r="P33" s="111">
        <f t="shared" si="2"/>
        <v>17889682</v>
      </c>
      <c r="Q33" s="111">
        <f t="shared" si="3"/>
        <v>18154242.760000002</v>
      </c>
      <c r="R33" s="111">
        <f t="shared" si="4"/>
        <v>17937946.07</v>
      </c>
    </row>
    <row r="34" spans="1:18" ht="19.5" customHeight="1">
      <c r="A34" s="4" t="s">
        <v>203</v>
      </c>
      <c r="B34" s="14" t="s">
        <v>42</v>
      </c>
      <c r="C34" s="15" t="s">
        <v>2</v>
      </c>
      <c r="D34" s="15" t="s">
        <v>13</v>
      </c>
      <c r="E34" s="15"/>
      <c r="F34" s="15"/>
      <c r="G34" s="15"/>
      <c r="H34" s="1"/>
      <c r="I34" s="13"/>
      <c r="J34" s="112">
        <f>J35</f>
        <v>17707682</v>
      </c>
      <c r="K34" s="112">
        <f t="shared" ref="K34:O35" si="13">K35</f>
        <v>17972242.760000002</v>
      </c>
      <c r="L34" s="112">
        <f t="shared" si="13"/>
        <v>17755946.07</v>
      </c>
      <c r="M34" s="112">
        <f t="shared" si="13"/>
        <v>0</v>
      </c>
      <c r="N34" s="112">
        <f t="shared" si="13"/>
        <v>0</v>
      </c>
      <c r="O34" s="112">
        <f t="shared" si="13"/>
        <v>0</v>
      </c>
      <c r="P34" s="112">
        <f t="shared" si="2"/>
        <v>17707682</v>
      </c>
      <c r="Q34" s="112">
        <f t="shared" si="3"/>
        <v>17972242.760000002</v>
      </c>
      <c r="R34" s="112">
        <f t="shared" si="4"/>
        <v>17755946.07</v>
      </c>
    </row>
    <row r="35" spans="1:18" ht="27.75" customHeight="1">
      <c r="A35" s="2" t="s">
        <v>282</v>
      </c>
      <c r="B35" s="66" t="s">
        <v>42</v>
      </c>
      <c r="C35" s="1" t="s">
        <v>2</v>
      </c>
      <c r="D35" s="1" t="s">
        <v>13</v>
      </c>
      <c r="E35" s="1" t="s">
        <v>17</v>
      </c>
      <c r="F35" s="1" t="s">
        <v>70</v>
      </c>
      <c r="G35" s="1" t="s">
        <v>148</v>
      </c>
      <c r="H35" s="1" t="s">
        <v>149</v>
      </c>
      <c r="I35" s="13"/>
      <c r="J35" s="116">
        <f>J36</f>
        <v>17707682</v>
      </c>
      <c r="K35" s="116">
        <f t="shared" si="13"/>
        <v>17972242.760000002</v>
      </c>
      <c r="L35" s="116">
        <f t="shared" si="13"/>
        <v>17755946.07</v>
      </c>
      <c r="M35" s="116">
        <f t="shared" si="13"/>
        <v>0</v>
      </c>
      <c r="N35" s="116">
        <f t="shared" si="13"/>
        <v>0</v>
      </c>
      <c r="O35" s="116">
        <f t="shared" si="13"/>
        <v>0</v>
      </c>
      <c r="P35" s="116">
        <f t="shared" si="2"/>
        <v>17707682</v>
      </c>
      <c r="Q35" s="116">
        <f t="shared" si="3"/>
        <v>17972242.760000002</v>
      </c>
      <c r="R35" s="116">
        <f t="shared" si="4"/>
        <v>17755946.07</v>
      </c>
    </row>
    <row r="36" spans="1:18" ht="25.5">
      <c r="A36" s="2" t="s">
        <v>131</v>
      </c>
      <c r="B36" s="66" t="s">
        <v>42</v>
      </c>
      <c r="C36" s="1" t="s">
        <v>2</v>
      </c>
      <c r="D36" s="1" t="s">
        <v>13</v>
      </c>
      <c r="E36" s="1" t="s">
        <v>17</v>
      </c>
      <c r="F36" s="1" t="s">
        <v>113</v>
      </c>
      <c r="G36" s="1" t="s">
        <v>148</v>
      </c>
      <c r="H36" s="1" t="s">
        <v>149</v>
      </c>
      <c r="I36" s="13"/>
      <c r="J36" s="116">
        <f>J37+J40+J43+J46</f>
        <v>17707682</v>
      </c>
      <c r="K36" s="116">
        <f t="shared" ref="K36:L36" si="14">K37+K40+K43+K46</f>
        <v>17972242.760000002</v>
      </c>
      <c r="L36" s="116">
        <f t="shared" si="14"/>
        <v>17755946.07</v>
      </c>
      <c r="M36" s="116">
        <f t="shared" ref="M36:O36" si="15">M37+M40+M43+M46</f>
        <v>0</v>
      </c>
      <c r="N36" s="116">
        <f t="shared" si="15"/>
        <v>0</v>
      </c>
      <c r="O36" s="116">
        <f t="shared" si="15"/>
        <v>0</v>
      </c>
      <c r="P36" s="116">
        <f t="shared" si="2"/>
        <v>17707682</v>
      </c>
      <c r="Q36" s="116">
        <f t="shared" si="3"/>
        <v>17972242.760000002</v>
      </c>
      <c r="R36" s="116">
        <f t="shared" si="4"/>
        <v>17755946.07</v>
      </c>
    </row>
    <row r="37" spans="1:18" ht="25.5">
      <c r="A37" s="2" t="s">
        <v>377</v>
      </c>
      <c r="B37" s="66" t="s">
        <v>42</v>
      </c>
      <c r="C37" s="1" t="s">
        <v>2</v>
      </c>
      <c r="D37" s="1" t="s">
        <v>13</v>
      </c>
      <c r="E37" s="1" t="s">
        <v>17</v>
      </c>
      <c r="F37" s="1" t="s">
        <v>113</v>
      </c>
      <c r="G37" s="1" t="s">
        <v>148</v>
      </c>
      <c r="H37" s="1" t="s">
        <v>226</v>
      </c>
      <c r="I37" s="13"/>
      <c r="J37" s="116">
        <f>J38</f>
        <v>500000</v>
      </c>
      <c r="K37" s="116">
        <f t="shared" ref="K37:O38" si="16">K38</f>
        <v>500000</v>
      </c>
      <c r="L37" s="116">
        <f t="shared" si="16"/>
        <v>0</v>
      </c>
      <c r="M37" s="116">
        <f t="shared" si="16"/>
        <v>0</v>
      </c>
      <c r="N37" s="116">
        <f t="shared" si="16"/>
        <v>0</v>
      </c>
      <c r="O37" s="116">
        <f t="shared" si="16"/>
        <v>0</v>
      </c>
      <c r="P37" s="116">
        <f t="shared" si="2"/>
        <v>500000</v>
      </c>
      <c r="Q37" s="116">
        <f t="shared" si="3"/>
        <v>500000</v>
      </c>
      <c r="R37" s="116">
        <f t="shared" si="4"/>
        <v>0</v>
      </c>
    </row>
    <row r="38" spans="1:18" ht="25.5">
      <c r="A38" s="7" t="s">
        <v>72</v>
      </c>
      <c r="B38" s="66" t="s">
        <v>42</v>
      </c>
      <c r="C38" s="1" t="s">
        <v>2</v>
      </c>
      <c r="D38" s="1" t="s">
        <v>13</v>
      </c>
      <c r="E38" s="1" t="s">
        <v>17</v>
      </c>
      <c r="F38" s="1" t="s">
        <v>113</v>
      </c>
      <c r="G38" s="1" t="s">
        <v>148</v>
      </c>
      <c r="H38" s="1" t="s">
        <v>226</v>
      </c>
      <c r="I38" s="13" t="s">
        <v>71</v>
      </c>
      <c r="J38" s="116">
        <f>J39</f>
        <v>500000</v>
      </c>
      <c r="K38" s="116">
        <f t="shared" si="16"/>
        <v>500000</v>
      </c>
      <c r="L38" s="116">
        <f t="shared" si="16"/>
        <v>0</v>
      </c>
      <c r="M38" s="116">
        <f t="shared" si="16"/>
        <v>0</v>
      </c>
      <c r="N38" s="116">
        <f t="shared" si="16"/>
        <v>0</v>
      </c>
      <c r="O38" s="116">
        <f t="shared" si="16"/>
        <v>0</v>
      </c>
      <c r="P38" s="116">
        <f t="shared" si="2"/>
        <v>500000</v>
      </c>
      <c r="Q38" s="116">
        <f t="shared" si="3"/>
        <v>500000</v>
      </c>
      <c r="R38" s="116">
        <f t="shared" si="4"/>
        <v>0</v>
      </c>
    </row>
    <row r="39" spans="1:18">
      <c r="A39" s="11" t="s">
        <v>75</v>
      </c>
      <c r="B39" s="66" t="s">
        <v>42</v>
      </c>
      <c r="C39" s="1" t="s">
        <v>2</v>
      </c>
      <c r="D39" s="1" t="s">
        <v>13</v>
      </c>
      <c r="E39" s="1" t="s">
        <v>17</v>
      </c>
      <c r="F39" s="1" t="s">
        <v>113</v>
      </c>
      <c r="G39" s="1" t="s">
        <v>148</v>
      </c>
      <c r="H39" s="1" t="s">
        <v>226</v>
      </c>
      <c r="I39" s="13" t="s">
        <v>74</v>
      </c>
      <c r="J39" s="116">
        <v>500000</v>
      </c>
      <c r="K39" s="116">
        <v>500000</v>
      </c>
      <c r="L39" s="116"/>
      <c r="M39" s="116"/>
      <c r="N39" s="116"/>
      <c r="O39" s="116"/>
      <c r="P39" s="116">
        <f t="shared" si="2"/>
        <v>500000</v>
      </c>
      <c r="Q39" s="116">
        <f t="shared" si="3"/>
        <v>500000</v>
      </c>
      <c r="R39" s="116">
        <f t="shared" si="4"/>
        <v>0</v>
      </c>
    </row>
    <row r="40" spans="1:18">
      <c r="A40" s="2" t="s">
        <v>132</v>
      </c>
      <c r="B40" s="66" t="s">
        <v>42</v>
      </c>
      <c r="C40" s="1" t="s">
        <v>2</v>
      </c>
      <c r="D40" s="1" t="s">
        <v>13</v>
      </c>
      <c r="E40" s="1" t="s">
        <v>17</v>
      </c>
      <c r="F40" s="1" t="s">
        <v>113</v>
      </c>
      <c r="G40" s="1" t="s">
        <v>148</v>
      </c>
      <c r="H40" s="1" t="s">
        <v>150</v>
      </c>
      <c r="I40" s="13"/>
      <c r="J40" s="116">
        <f>J41</f>
        <v>57000</v>
      </c>
      <c r="K40" s="116">
        <f t="shared" ref="K40:O41" si="17">K41</f>
        <v>57000</v>
      </c>
      <c r="L40" s="116">
        <f t="shared" si="17"/>
        <v>57000</v>
      </c>
      <c r="M40" s="116"/>
      <c r="N40" s="116"/>
      <c r="O40" s="116"/>
      <c r="P40" s="116">
        <f t="shared" si="2"/>
        <v>57000</v>
      </c>
      <c r="Q40" s="116">
        <f t="shared" si="3"/>
        <v>57000</v>
      </c>
      <c r="R40" s="116">
        <f t="shared" si="4"/>
        <v>57000</v>
      </c>
    </row>
    <row r="41" spans="1:18" ht="25.5">
      <c r="A41" s="7" t="s">
        <v>72</v>
      </c>
      <c r="B41" s="66" t="s">
        <v>42</v>
      </c>
      <c r="C41" s="1" t="s">
        <v>2</v>
      </c>
      <c r="D41" s="1" t="s">
        <v>13</v>
      </c>
      <c r="E41" s="1" t="s">
        <v>17</v>
      </c>
      <c r="F41" s="1" t="s">
        <v>113</v>
      </c>
      <c r="G41" s="1" t="s">
        <v>148</v>
      </c>
      <c r="H41" s="1" t="s">
        <v>150</v>
      </c>
      <c r="I41" s="13" t="s">
        <v>71</v>
      </c>
      <c r="J41" s="116">
        <f>J42</f>
        <v>57000</v>
      </c>
      <c r="K41" s="116">
        <f t="shared" si="17"/>
        <v>57000</v>
      </c>
      <c r="L41" s="116">
        <f t="shared" si="17"/>
        <v>57000</v>
      </c>
      <c r="M41" s="116">
        <f t="shared" si="17"/>
        <v>0</v>
      </c>
      <c r="N41" s="116">
        <f t="shared" si="17"/>
        <v>0</v>
      </c>
      <c r="O41" s="116">
        <f t="shared" si="17"/>
        <v>0</v>
      </c>
      <c r="P41" s="116">
        <f t="shared" si="2"/>
        <v>57000</v>
      </c>
      <c r="Q41" s="116">
        <f t="shared" si="3"/>
        <v>57000</v>
      </c>
      <c r="R41" s="116">
        <f t="shared" si="4"/>
        <v>57000</v>
      </c>
    </row>
    <row r="42" spans="1:18">
      <c r="A42" s="11" t="s">
        <v>75</v>
      </c>
      <c r="B42" s="66" t="s">
        <v>42</v>
      </c>
      <c r="C42" s="1" t="s">
        <v>2</v>
      </c>
      <c r="D42" s="1" t="s">
        <v>13</v>
      </c>
      <c r="E42" s="1" t="s">
        <v>17</v>
      </c>
      <c r="F42" s="1" t="s">
        <v>113</v>
      </c>
      <c r="G42" s="1" t="s">
        <v>148</v>
      </c>
      <c r="H42" s="1" t="s">
        <v>150</v>
      </c>
      <c r="I42" s="13" t="s">
        <v>74</v>
      </c>
      <c r="J42" s="116">
        <v>57000</v>
      </c>
      <c r="K42" s="116">
        <v>57000</v>
      </c>
      <c r="L42" s="116">
        <v>57000</v>
      </c>
      <c r="M42" s="116"/>
      <c r="N42" s="116"/>
      <c r="O42" s="116"/>
      <c r="P42" s="116">
        <f t="shared" si="2"/>
        <v>57000</v>
      </c>
      <c r="Q42" s="116">
        <f t="shared" si="3"/>
        <v>57000</v>
      </c>
      <c r="R42" s="116">
        <f t="shared" si="4"/>
        <v>57000</v>
      </c>
    </row>
    <row r="43" spans="1:18">
      <c r="A43" s="2" t="s">
        <v>133</v>
      </c>
      <c r="B43" s="66" t="s">
        <v>42</v>
      </c>
      <c r="C43" s="1" t="s">
        <v>2</v>
      </c>
      <c r="D43" s="1" t="s">
        <v>13</v>
      </c>
      <c r="E43" s="1" t="s">
        <v>17</v>
      </c>
      <c r="F43" s="1" t="s">
        <v>113</v>
      </c>
      <c r="G43" s="1" t="s">
        <v>148</v>
      </c>
      <c r="H43" s="1" t="s">
        <v>151</v>
      </c>
      <c r="I43" s="13"/>
      <c r="J43" s="116">
        <f>J44</f>
        <v>17010682</v>
      </c>
      <c r="K43" s="116">
        <f t="shared" ref="K43:O44" si="18">K44</f>
        <v>17269642.760000002</v>
      </c>
      <c r="L43" s="116">
        <f t="shared" si="18"/>
        <v>17534418.07</v>
      </c>
      <c r="M43" s="116">
        <f t="shared" si="18"/>
        <v>0</v>
      </c>
      <c r="N43" s="116">
        <f t="shared" si="18"/>
        <v>0</v>
      </c>
      <c r="O43" s="116">
        <f t="shared" si="18"/>
        <v>0</v>
      </c>
      <c r="P43" s="116">
        <f t="shared" si="2"/>
        <v>17010682</v>
      </c>
      <c r="Q43" s="116">
        <f t="shared" si="3"/>
        <v>17269642.760000002</v>
      </c>
      <c r="R43" s="116">
        <f t="shared" si="4"/>
        <v>17534418.07</v>
      </c>
    </row>
    <row r="44" spans="1:18" ht="25.5">
      <c r="A44" s="7" t="s">
        <v>72</v>
      </c>
      <c r="B44" s="66" t="s">
        <v>42</v>
      </c>
      <c r="C44" s="1" t="s">
        <v>2</v>
      </c>
      <c r="D44" s="1" t="s">
        <v>13</v>
      </c>
      <c r="E44" s="1" t="s">
        <v>17</v>
      </c>
      <c r="F44" s="1" t="s">
        <v>113</v>
      </c>
      <c r="G44" s="1" t="s">
        <v>148</v>
      </c>
      <c r="H44" s="1" t="s">
        <v>151</v>
      </c>
      <c r="I44" s="13" t="s">
        <v>71</v>
      </c>
      <c r="J44" s="116">
        <f>J45</f>
        <v>17010682</v>
      </c>
      <c r="K44" s="116">
        <f t="shared" si="18"/>
        <v>17269642.760000002</v>
      </c>
      <c r="L44" s="116">
        <f t="shared" si="18"/>
        <v>17534418.07</v>
      </c>
      <c r="M44" s="116">
        <f t="shared" si="18"/>
        <v>0</v>
      </c>
      <c r="N44" s="116">
        <f t="shared" si="18"/>
        <v>0</v>
      </c>
      <c r="O44" s="116">
        <f t="shared" si="18"/>
        <v>0</v>
      </c>
      <c r="P44" s="116">
        <f t="shared" si="2"/>
        <v>17010682</v>
      </c>
      <c r="Q44" s="116">
        <f t="shared" si="3"/>
        <v>17269642.760000002</v>
      </c>
      <c r="R44" s="116">
        <f t="shared" si="4"/>
        <v>17534418.07</v>
      </c>
    </row>
    <row r="45" spans="1:18">
      <c r="A45" s="11" t="s">
        <v>75</v>
      </c>
      <c r="B45" s="66" t="s">
        <v>42</v>
      </c>
      <c r="C45" s="1" t="s">
        <v>2</v>
      </c>
      <c r="D45" s="1" t="s">
        <v>13</v>
      </c>
      <c r="E45" s="1" t="s">
        <v>17</v>
      </c>
      <c r="F45" s="1" t="s">
        <v>113</v>
      </c>
      <c r="G45" s="1" t="s">
        <v>148</v>
      </c>
      <c r="H45" s="1" t="s">
        <v>151</v>
      </c>
      <c r="I45" s="13" t="s">
        <v>74</v>
      </c>
      <c r="J45" s="116">
        <f>16810682+200000</f>
        <v>17010682</v>
      </c>
      <c r="K45" s="116">
        <f>17069642.76+200000</f>
        <v>17269642.760000002</v>
      </c>
      <c r="L45" s="116">
        <f>17334418.07+200000</f>
        <v>17534418.07</v>
      </c>
      <c r="M45" s="116"/>
      <c r="N45" s="116"/>
      <c r="O45" s="116"/>
      <c r="P45" s="116">
        <f t="shared" si="2"/>
        <v>17010682</v>
      </c>
      <c r="Q45" s="116">
        <f t="shared" si="3"/>
        <v>17269642.760000002</v>
      </c>
      <c r="R45" s="116">
        <f t="shared" si="4"/>
        <v>17534418.07</v>
      </c>
    </row>
    <row r="46" spans="1:18" ht="63.75">
      <c r="A46" s="11" t="s">
        <v>313</v>
      </c>
      <c r="B46" s="66" t="s">
        <v>42</v>
      </c>
      <c r="C46" s="1" t="s">
        <v>2</v>
      </c>
      <c r="D46" s="1" t="s">
        <v>13</v>
      </c>
      <c r="E46" s="1" t="s">
        <v>17</v>
      </c>
      <c r="F46" s="1" t="s">
        <v>113</v>
      </c>
      <c r="G46" s="1" t="s">
        <v>148</v>
      </c>
      <c r="H46" s="1" t="s">
        <v>206</v>
      </c>
      <c r="I46" s="13"/>
      <c r="J46" s="116">
        <f>J47</f>
        <v>140000</v>
      </c>
      <c r="K46" s="116">
        <f t="shared" ref="K46:O47" si="19">K47</f>
        <v>145600</v>
      </c>
      <c r="L46" s="116">
        <f t="shared" si="19"/>
        <v>164528</v>
      </c>
      <c r="M46" s="116">
        <f t="shared" si="19"/>
        <v>0</v>
      </c>
      <c r="N46" s="116">
        <f t="shared" si="19"/>
        <v>0</v>
      </c>
      <c r="O46" s="116">
        <f t="shared" si="19"/>
        <v>0</v>
      </c>
      <c r="P46" s="116">
        <f t="shared" si="2"/>
        <v>140000</v>
      </c>
      <c r="Q46" s="116">
        <f t="shared" si="3"/>
        <v>145600</v>
      </c>
      <c r="R46" s="116">
        <f t="shared" si="4"/>
        <v>164528</v>
      </c>
    </row>
    <row r="47" spans="1:18" ht="25.5">
      <c r="A47" s="7" t="s">
        <v>72</v>
      </c>
      <c r="B47" s="66" t="s">
        <v>42</v>
      </c>
      <c r="C47" s="1" t="s">
        <v>2</v>
      </c>
      <c r="D47" s="1" t="s">
        <v>13</v>
      </c>
      <c r="E47" s="1" t="s">
        <v>17</v>
      </c>
      <c r="F47" s="1" t="s">
        <v>113</v>
      </c>
      <c r="G47" s="1" t="s">
        <v>148</v>
      </c>
      <c r="H47" s="1" t="s">
        <v>206</v>
      </c>
      <c r="I47" s="13" t="s">
        <v>71</v>
      </c>
      <c r="J47" s="116">
        <f>J48</f>
        <v>140000</v>
      </c>
      <c r="K47" s="116">
        <f t="shared" si="19"/>
        <v>145600</v>
      </c>
      <c r="L47" s="116">
        <f t="shared" si="19"/>
        <v>164528</v>
      </c>
      <c r="M47" s="116">
        <f t="shared" si="19"/>
        <v>0</v>
      </c>
      <c r="N47" s="116">
        <f t="shared" si="19"/>
        <v>0</v>
      </c>
      <c r="O47" s="116">
        <f t="shared" si="19"/>
        <v>0</v>
      </c>
      <c r="P47" s="116">
        <f t="shared" si="2"/>
        <v>140000</v>
      </c>
      <c r="Q47" s="116">
        <f t="shared" si="3"/>
        <v>145600</v>
      </c>
      <c r="R47" s="116">
        <f t="shared" si="4"/>
        <v>164528</v>
      </c>
    </row>
    <row r="48" spans="1:18">
      <c r="A48" s="11" t="s">
        <v>75</v>
      </c>
      <c r="B48" s="66" t="s">
        <v>42</v>
      </c>
      <c r="C48" s="1" t="s">
        <v>2</v>
      </c>
      <c r="D48" s="1" t="s">
        <v>13</v>
      </c>
      <c r="E48" s="1" t="s">
        <v>17</v>
      </c>
      <c r="F48" s="1" t="s">
        <v>113</v>
      </c>
      <c r="G48" s="1" t="s">
        <v>148</v>
      </c>
      <c r="H48" s="1" t="s">
        <v>206</v>
      </c>
      <c r="I48" s="13" t="s">
        <v>74</v>
      </c>
      <c r="J48" s="116">
        <v>140000</v>
      </c>
      <c r="K48" s="116">
        <v>145600</v>
      </c>
      <c r="L48" s="116">
        <v>164528</v>
      </c>
      <c r="M48" s="116"/>
      <c r="N48" s="116"/>
      <c r="O48" s="116"/>
      <c r="P48" s="116">
        <f t="shared" si="2"/>
        <v>140000</v>
      </c>
      <c r="Q48" s="116">
        <f t="shared" si="3"/>
        <v>145600</v>
      </c>
      <c r="R48" s="116">
        <f t="shared" si="4"/>
        <v>164528</v>
      </c>
    </row>
    <row r="49" spans="1:18">
      <c r="A49" s="11"/>
      <c r="B49" s="66"/>
      <c r="C49" s="1"/>
      <c r="D49" s="1"/>
      <c r="E49" s="1"/>
      <c r="F49" s="1"/>
      <c r="G49" s="1"/>
      <c r="H49" s="1"/>
      <c r="I49" s="13"/>
      <c r="J49" s="116"/>
      <c r="K49" s="116"/>
      <c r="L49" s="116"/>
      <c r="M49" s="116"/>
      <c r="N49" s="116"/>
      <c r="O49" s="116"/>
      <c r="P49" s="116"/>
      <c r="Q49" s="116"/>
      <c r="R49" s="116"/>
    </row>
    <row r="50" spans="1:18" ht="15.75" customHeight="1">
      <c r="A50" s="4" t="s">
        <v>199</v>
      </c>
      <c r="B50" s="14" t="s">
        <v>42</v>
      </c>
      <c r="C50" s="14" t="s">
        <v>2</v>
      </c>
      <c r="D50" s="14" t="s">
        <v>2</v>
      </c>
      <c r="E50" s="14"/>
      <c r="F50" s="14"/>
      <c r="G50" s="14"/>
      <c r="H50" s="14"/>
      <c r="I50" s="13"/>
      <c r="J50" s="112">
        <f t="shared" ref="J50:O53" si="20">J51</f>
        <v>182000</v>
      </c>
      <c r="K50" s="112">
        <f t="shared" si="20"/>
        <v>182000</v>
      </c>
      <c r="L50" s="112">
        <f t="shared" si="20"/>
        <v>182000</v>
      </c>
      <c r="M50" s="112">
        <f t="shared" si="20"/>
        <v>0</v>
      </c>
      <c r="N50" s="112">
        <f t="shared" si="20"/>
        <v>0</v>
      </c>
      <c r="O50" s="112">
        <f t="shared" si="20"/>
        <v>0</v>
      </c>
      <c r="P50" s="112">
        <f t="shared" si="2"/>
        <v>182000</v>
      </c>
      <c r="Q50" s="112">
        <f t="shared" si="3"/>
        <v>182000</v>
      </c>
      <c r="R50" s="112">
        <f t="shared" si="4"/>
        <v>182000</v>
      </c>
    </row>
    <row r="51" spans="1:18" ht="25.5">
      <c r="A51" s="80" t="s">
        <v>283</v>
      </c>
      <c r="B51" s="1" t="s">
        <v>42</v>
      </c>
      <c r="C51" s="1" t="s">
        <v>2</v>
      </c>
      <c r="D51" s="1" t="s">
        <v>2</v>
      </c>
      <c r="E51" s="1" t="s">
        <v>85</v>
      </c>
      <c r="F51" s="1" t="s">
        <v>70</v>
      </c>
      <c r="G51" s="1" t="s">
        <v>148</v>
      </c>
      <c r="H51" s="1" t="s">
        <v>149</v>
      </c>
      <c r="I51" s="13"/>
      <c r="J51" s="84">
        <f>J52</f>
        <v>182000</v>
      </c>
      <c r="K51" s="84">
        <f t="shared" si="20"/>
        <v>182000</v>
      </c>
      <c r="L51" s="84">
        <f t="shared" si="20"/>
        <v>182000</v>
      </c>
      <c r="M51" s="84">
        <f t="shared" si="20"/>
        <v>0</v>
      </c>
      <c r="N51" s="84">
        <f t="shared" si="20"/>
        <v>0</v>
      </c>
      <c r="O51" s="84">
        <f t="shared" si="20"/>
        <v>0</v>
      </c>
      <c r="P51" s="84">
        <f t="shared" si="2"/>
        <v>182000</v>
      </c>
      <c r="Q51" s="84">
        <f t="shared" si="3"/>
        <v>182000</v>
      </c>
      <c r="R51" s="84">
        <f t="shared" si="4"/>
        <v>182000</v>
      </c>
    </row>
    <row r="52" spans="1:18">
      <c r="A52" s="2" t="s">
        <v>122</v>
      </c>
      <c r="B52" s="1" t="s">
        <v>42</v>
      </c>
      <c r="C52" s="1" t="s">
        <v>2</v>
      </c>
      <c r="D52" s="1" t="s">
        <v>2</v>
      </c>
      <c r="E52" s="1" t="s">
        <v>85</v>
      </c>
      <c r="F52" s="1" t="s">
        <v>70</v>
      </c>
      <c r="G52" s="1" t="s">
        <v>148</v>
      </c>
      <c r="H52" s="1" t="s">
        <v>152</v>
      </c>
      <c r="I52" s="13"/>
      <c r="J52" s="84">
        <f t="shared" si="20"/>
        <v>182000</v>
      </c>
      <c r="K52" s="84">
        <f t="shared" si="20"/>
        <v>182000</v>
      </c>
      <c r="L52" s="84">
        <f t="shared" si="20"/>
        <v>182000</v>
      </c>
      <c r="M52" s="84">
        <f t="shared" si="20"/>
        <v>0</v>
      </c>
      <c r="N52" s="84">
        <f t="shared" si="20"/>
        <v>0</v>
      </c>
      <c r="O52" s="84">
        <f t="shared" si="20"/>
        <v>0</v>
      </c>
      <c r="P52" s="84">
        <f t="shared" si="2"/>
        <v>182000</v>
      </c>
      <c r="Q52" s="84">
        <f t="shared" si="3"/>
        <v>182000</v>
      </c>
      <c r="R52" s="84">
        <f t="shared" si="4"/>
        <v>182000</v>
      </c>
    </row>
    <row r="53" spans="1:18" ht="25.5">
      <c r="A53" s="80" t="s">
        <v>260</v>
      </c>
      <c r="B53" s="1" t="s">
        <v>42</v>
      </c>
      <c r="C53" s="1" t="s">
        <v>2</v>
      </c>
      <c r="D53" s="1" t="s">
        <v>2</v>
      </c>
      <c r="E53" s="1" t="s">
        <v>85</v>
      </c>
      <c r="F53" s="1" t="s">
        <v>70</v>
      </c>
      <c r="G53" s="1" t="s">
        <v>148</v>
      </c>
      <c r="H53" s="1" t="s">
        <v>152</v>
      </c>
      <c r="I53" s="13" t="s">
        <v>94</v>
      </c>
      <c r="J53" s="84">
        <f t="shared" si="20"/>
        <v>182000</v>
      </c>
      <c r="K53" s="84">
        <f t="shared" si="20"/>
        <v>182000</v>
      </c>
      <c r="L53" s="84">
        <f t="shared" si="20"/>
        <v>182000</v>
      </c>
      <c r="M53" s="84">
        <f t="shared" si="20"/>
        <v>0</v>
      </c>
      <c r="N53" s="84">
        <f t="shared" si="20"/>
        <v>0</v>
      </c>
      <c r="O53" s="84">
        <f t="shared" si="20"/>
        <v>0</v>
      </c>
      <c r="P53" s="84">
        <f t="shared" si="2"/>
        <v>182000</v>
      </c>
      <c r="Q53" s="84">
        <f t="shared" si="3"/>
        <v>182000</v>
      </c>
      <c r="R53" s="84">
        <f t="shared" si="4"/>
        <v>182000</v>
      </c>
    </row>
    <row r="54" spans="1:18" ht="25.5">
      <c r="A54" s="78" t="s">
        <v>98</v>
      </c>
      <c r="B54" s="1" t="s">
        <v>42</v>
      </c>
      <c r="C54" s="1" t="s">
        <v>2</v>
      </c>
      <c r="D54" s="1" t="s">
        <v>2</v>
      </c>
      <c r="E54" s="1" t="s">
        <v>85</v>
      </c>
      <c r="F54" s="1" t="s">
        <v>70</v>
      </c>
      <c r="G54" s="1" t="s">
        <v>148</v>
      </c>
      <c r="H54" s="1" t="s">
        <v>152</v>
      </c>
      <c r="I54" s="13" t="s">
        <v>95</v>
      </c>
      <c r="J54" s="84">
        <v>182000</v>
      </c>
      <c r="K54" s="84">
        <v>182000</v>
      </c>
      <c r="L54" s="84">
        <v>182000</v>
      </c>
      <c r="M54" s="84"/>
      <c r="N54" s="84"/>
      <c r="O54" s="84"/>
      <c r="P54" s="84">
        <f t="shared" si="2"/>
        <v>182000</v>
      </c>
      <c r="Q54" s="84">
        <f t="shared" si="3"/>
        <v>182000</v>
      </c>
      <c r="R54" s="84">
        <f t="shared" si="4"/>
        <v>182000</v>
      </c>
    </row>
    <row r="55" spans="1:18">
      <c r="A55" s="78"/>
      <c r="B55" s="49"/>
      <c r="C55" s="1"/>
      <c r="D55" s="1"/>
      <c r="E55" s="1"/>
      <c r="F55" s="1"/>
      <c r="G55" s="1"/>
      <c r="H55" s="1"/>
      <c r="I55" s="13"/>
      <c r="J55" s="84"/>
      <c r="K55" s="84"/>
      <c r="L55" s="84"/>
      <c r="M55" s="84"/>
      <c r="N55" s="84"/>
      <c r="O55" s="84"/>
      <c r="P55" s="84"/>
      <c r="Q55" s="84"/>
      <c r="R55" s="84"/>
    </row>
    <row r="56" spans="1:18" ht="15.75">
      <c r="A56" s="25" t="s">
        <v>53</v>
      </c>
      <c r="B56" s="26" t="s">
        <v>42</v>
      </c>
      <c r="C56" s="30" t="s">
        <v>27</v>
      </c>
      <c r="D56" s="30"/>
      <c r="E56" s="30"/>
      <c r="F56" s="30"/>
      <c r="G56" s="30"/>
      <c r="H56" s="30"/>
      <c r="I56" s="33"/>
      <c r="J56" s="111">
        <f>J57+J111</f>
        <v>114655072.81</v>
      </c>
      <c r="K56" s="111">
        <f>K57+K111</f>
        <v>115006207.56999999</v>
      </c>
      <c r="L56" s="111">
        <f>L57+L111</f>
        <v>115030621.29999998</v>
      </c>
      <c r="M56" s="111">
        <f t="shared" ref="M56:O56" si="21">M57+M111</f>
        <v>5157872.1500000004</v>
      </c>
      <c r="N56" s="111">
        <f t="shared" si="21"/>
        <v>-32430.240000000002</v>
      </c>
      <c r="O56" s="111">
        <f t="shared" si="21"/>
        <v>262382.61</v>
      </c>
      <c r="P56" s="111">
        <f t="shared" si="2"/>
        <v>119812944.96000001</v>
      </c>
      <c r="Q56" s="111">
        <f t="shared" si="3"/>
        <v>114973777.33</v>
      </c>
      <c r="R56" s="111">
        <f t="shared" si="4"/>
        <v>115293003.90999998</v>
      </c>
    </row>
    <row r="57" spans="1:18">
      <c r="A57" s="4" t="s">
        <v>28</v>
      </c>
      <c r="B57" s="14" t="s">
        <v>42</v>
      </c>
      <c r="C57" s="15" t="s">
        <v>27</v>
      </c>
      <c r="D57" s="15" t="s">
        <v>20</v>
      </c>
      <c r="E57" s="15"/>
      <c r="F57" s="15"/>
      <c r="G57" s="15"/>
      <c r="H57" s="15"/>
      <c r="I57" s="27"/>
      <c r="J57" s="112">
        <f>J58</f>
        <v>101055368.81</v>
      </c>
      <c r="K57" s="112">
        <f t="shared" ref="K57:O57" si="22">K58</f>
        <v>101274216.44</v>
      </c>
      <c r="L57" s="112">
        <f t="shared" si="22"/>
        <v>101235020.25999999</v>
      </c>
      <c r="M57" s="112">
        <f t="shared" si="22"/>
        <v>5157872.1500000004</v>
      </c>
      <c r="N57" s="112">
        <f t="shared" si="22"/>
        <v>-32430.240000000002</v>
      </c>
      <c r="O57" s="112">
        <f t="shared" si="22"/>
        <v>262382.61</v>
      </c>
      <c r="P57" s="112">
        <f t="shared" si="2"/>
        <v>106213240.96000001</v>
      </c>
      <c r="Q57" s="112">
        <f t="shared" si="3"/>
        <v>101241786.2</v>
      </c>
      <c r="R57" s="112">
        <f t="shared" si="4"/>
        <v>101497402.86999999</v>
      </c>
    </row>
    <row r="58" spans="1:18" ht="27" customHeight="1">
      <c r="A58" s="2" t="s">
        <v>282</v>
      </c>
      <c r="B58" s="10" t="s">
        <v>42</v>
      </c>
      <c r="C58" s="10" t="s">
        <v>27</v>
      </c>
      <c r="D58" s="10" t="s">
        <v>20</v>
      </c>
      <c r="E58" s="66" t="s">
        <v>17</v>
      </c>
      <c r="F58" s="10" t="s">
        <v>70</v>
      </c>
      <c r="G58" s="10" t="s">
        <v>148</v>
      </c>
      <c r="H58" s="10" t="s">
        <v>149</v>
      </c>
      <c r="I58" s="17"/>
      <c r="J58" s="113">
        <f>J59+J81+J103</f>
        <v>101055368.81</v>
      </c>
      <c r="K58" s="113">
        <f>K59+K81+K103</f>
        <v>101274216.44</v>
      </c>
      <c r="L58" s="113">
        <f>L59+L81+L103</f>
        <v>101235020.25999999</v>
      </c>
      <c r="M58" s="113">
        <f t="shared" ref="M58:O58" si="23">M59+M81+M103</f>
        <v>5157872.1500000004</v>
      </c>
      <c r="N58" s="113">
        <f t="shared" si="23"/>
        <v>-32430.240000000002</v>
      </c>
      <c r="O58" s="113">
        <f t="shared" si="23"/>
        <v>262382.61</v>
      </c>
      <c r="P58" s="113">
        <f t="shared" si="2"/>
        <v>106213240.96000001</v>
      </c>
      <c r="Q58" s="113">
        <f t="shared" si="3"/>
        <v>101241786.2</v>
      </c>
      <c r="R58" s="113">
        <f t="shared" si="4"/>
        <v>101497402.86999999</v>
      </c>
    </row>
    <row r="59" spans="1:18" ht="38.25">
      <c r="A59" s="2" t="s">
        <v>136</v>
      </c>
      <c r="B59" s="10" t="s">
        <v>42</v>
      </c>
      <c r="C59" s="10" t="s">
        <v>27</v>
      </c>
      <c r="D59" s="10" t="s">
        <v>20</v>
      </c>
      <c r="E59" s="66" t="s">
        <v>17</v>
      </c>
      <c r="F59" s="10" t="s">
        <v>127</v>
      </c>
      <c r="G59" s="10" t="s">
        <v>148</v>
      </c>
      <c r="H59" s="10" t="s">
        <v>149</v>
      </c>
      <c r="I59" s="17"/>
      <c r="J59" s="113">
        <f>J63+J66+J69+J60+J72+J75+J78</f>
        <v>63445989</v>
      </c>
      <c r="K59" s="113">
        <f t="shared" ref="K59:O59" si="24">K63+K66+K69+K60+K72+K75+K78</f>
        <v>64291111.119999997</v>
      </c>
      <c r="L59" s="113">
        <f t="shared" si="24"/>
        <v>64473880.219999999</v>
      </c>
      <c r="M59" s="113">
        <f t="shared" si="24"/>
        <v>5111111.1100000003</v>
      </c>
      <c r="N59" s="113">
        <f t="shared" si="24"/>
        <v>0</v>
      </c>
      <c r="O59" s="113">
        <f t="shared" si="24"/>
        <v>0</v>
      </c>
      <c r="P59" s="113">
        <f t="shared" si="2"/>
        <v>68557100.109999999</v>
      </c>
      <c r="Q59" s="113">
        <f t="shared" si="3"/>
        <v>64291111.119999997</v>
      </c>
      <c r="R59" s="113">
        <f t="shared" si="4"/>
        <v>64473880.219999999</v>
      </c>
    </row>
    <row r="60" spans="1:18" ht="25.5">
      <c r="A60" s="2" t="s">
        <v>377</v>
      </c>
      <c r="B60" s="10" t="s">
        <v>42</v>
      </c>
      <c r="C60" s="10" t="s">
        <v>27</v>
      </c>
      <c r="D60" s="10" t="s">
        <v>20</v>
      </c>
      <c r="E60" s="66" t="s">
        <v>17</v>
      </c>
      <c r="F60" s="10" t="s">
        <v>127</v>
      </c>
      <c r="G60" s="10" t="s">
        <v>148</v>
      </c>
      <c r="H60" s="60" t="s">
        <v>226</v>
      </c>
      <c r="I60" s="17"/>
      <c r="J60" s="113">
        <f>J61</f>
        <v>1410000</v>
      </c>
      <c r="K60" s="113">
        <f t="shared" ref="K60:O61" si="25">K61</f>
        <v>1150000</v>
      </c>
      <c r="L60" s="113">
        <f t="shared" si="25"/>
        <v>500000</v>
      </c>
      <c r="M60" s="113">
        <f t="shared" si="25"/>
        <v>5000000</v>
      </c>
      <c r="N60" s="113">
        <f t="shared" si="25"/>
        <v>0</v>
      </c>
      <c r="O60" s="113">
        <f t="shared" si="25"/>
        <v>0</v>
      </c>
      <c r="P60" s="113">
        <f t="shared" si="2"/>
        <v>6410000</v>
      </c>
      <c r="Q60" s="113">
        <f t="shared" si="3"/>
        <v>1150000</v>
      </c>
      <c r="R60" s="113">
        <f t="shared" si="4"/>
        <v>500000</v>
      </c>
    </row>
    <row r="61" spans="1:18" ht="25.5">
      <c r="A61" s="7" t="s">
        <v>72</v>
      </c>
      <c r="B61" s="10" t="s">
        <v>42</v>
      </c>
      <c r="C61" s="10" t="s">
        <v>27</v>
      </c>
      <c r="D61" s="10" t="s">
        <v>20</v>
      </c>
      <c r="E61" s="66" t="s">
        <v>17</v>
      </c>
      <c r="F61" s="10" t="s">
        <v>127</v>
      </c>
      <c r="G61" s="10" t="s">
        <v>148</v>
      </c>
      <c r="H61" s="60" t="s">
        <v>226</v>
      </c>
      <c r="I61" s="129" t="s">
        <v>71</v>
      </c>
      <c r="J61" s="113">
        <f>J62</f>
        <v>1410000</v>
      </c>
      <c r="K61" s="113">
        <f t="shared" si="25"/>
        <v>1150000</v>
      </c>
      <c r="L61" s="113">
        <f t="shared" si="25"/>
        <v>500000</v>
      </c>
      <c r="M61" s="113">
        <f t="shared" si="25"/>
        <v>5000000</v>
      </c>
      <c r="N61" s="113">
        <f t="shared" si="25"/>
        <v>0</v>
      </c>
      <c r="O61" s="113">
        <f t="shared" si="25"/>
        <v>0</v>
      </c>
      <c r="P61" s="113">
        <f t="shared" si="2"/>
        <v>6410000</v>
      </c>
      <c r="Q61" s="113">
        <f t="shared" si="3"/>
        <v>1150000</v>
      </c>
      <c r="R61" s="113">
        <f t="shared" si="4"/>
        <v>500000</v>
      </c>
    </row>
    <row r="62" spans="1:18">
      <c r="A62" s="11" t="s">
        <v>75</v>
      </c>
      <c r="B62" s="10" t="s">
        <v>42</v>
      </c>
      <c r="C62" s="10" t="s">
        <v>27</v>
      </c>
      <c r="D62" s="10" t="s">
        <v>20</v>
      </c>
      <c r="E62" s="66" t="s">
        <v>17</v>
      </c>
      <c r="F62" s="10" t="s">
        <v>127</v>
      </c>
      <c r="G62" s="10" t="s">
        <v>148</v>
      </c>
      <c r="H62" s="60" t="s">
        <v>226</v>
      </c>
      <c r="I62" s="129" t="s">
        <v>74</v>
      </c>
      <c r="J62" s="113">
        <f>1150000+260000</f>
        <v>1410000</v>
      </c>
      <c r="K62" s="113">
        <v>1150000</v>
      </c>
      <c r="L62" s="113">
        <v>500000</v>
      </c>
      <c r="M62" s="113">
        <v>5000000</v>
      </c>
      <c r="N62" s="113"/>
      <c r="O62" s="113"/>
      <c r="P62" s="113">
        <f t="shared" si="2"/>
        <v>6410000</v>
      </c>
      <c r="Q62" s="113">
        <f t="shared" si="3"/>
        <v>1150000</v>
      </c>
      <c r="R62" s="113">
        <f t="shared" si="4"/>
        <v>500000</v>
      </c>
    </row>
    <row r="63" spans="1:18">
      <c r="A63" s="2" t="s">
        <v>378</v>
      </c>
      <c r="B63" s="10" t="s">
        <v>42</v>
      </c>
      <c r="C63" s="10" t="s">
        <v>27</v>
      </c>
      <c r="D63" s="10" t="s">
        <v>20</v>
      </c>
      <c r="E63" s="66" t="s">
        <v>17</v>
      </c>
      <c r="F63" s="10" t="s">
        <v>127</v>
      </c>
      <c r="G63" s="10" t="s">
        <v>148</v>
      </c>
      <c r="H63" s="10" t="s">
        <v>153</v>
      </c>
      <c r="I63" s="17"/>
      <c r="J63" s="113">
        <f>+J64</f>
        <v>700000</v>
      </c>
      <c r="K63" s="113">
        <f t="shared" ref="K63:O63" si="26">+K64</f>
        <v>700000</v>
      </c>
      <c r="L63" s="113">
        <f t="shared" si="26"/>
        <v>700000</v>
      </c>
      <c r="M63" s="113">
        <f t="shared" si="26"/>
        <v>0</v>
      </c>
      <c r="N63" s="113">
        <f t="shared" si="26"/>
        <v>0</v>
      </c>
      <c r="O63" s="113">
        <f t="shared" si="26"/>
        <v>0</v>
      </c>
      <c r="P63" s="113">
        <f t="shared" si="2"/>
        <v>700000</v>
      </c>
      <c r="Q63" s="113">
        <f t="shared" si="3"/>
        <v>700000</v>
      </c>
      <c r="R63" s="113">
        <f t="shared" si="4"/>
        <v>700000</v>
      </c>
    </row>
    <row r="64" spans="1:18" ht="25.5">
      <c r="A64" s="7" t="s">
        <v>72</v>
      </c>
      <c r="B64" s="10" t="s">
        <v>42</v>
      </c>
      <c r="C64" s="10" t="s">
        <v>27</v>
      </c>
      <c r="D64" s="10" t="s">
        <v>20</v>
      </c>
      <c r="E64" s="66" t="s">
        <v>17</v>
      </c>
      <c r="F64" s="10" t="s">
        <v>127</v>
      </c>
      <c r="G64" s="10" t="s">
        <v>148</v>
      </c>
      <c r="H64" s="10" t="s">
        <v>153</v>
      </c>
      <c r="I64" s="17" t="s">
        <v>71</v>
      </c>
      <c r="J64" s="113">
        <f>J65</f>
        <v>700000</v>
      </c>
      <c r="K64" s="113">
        <f t="shared" ref="K64:O64" si="27">K65</f>
        <v>700000</v>
      </c>
      <c r="L64" s="113">
        <f t="shared" si="27"/>
        <v>700000</v>
      </c>
      <c r="M64" s="113">
        <f t="shared" si="27"/>
        <v>0</v>
      </c>
      <c r="N64" s="113">
        <f t="shared" si="27"/>
        <v>0</v>
      </c>
      <c r="O64" s="113">
        <f t="shared" si="27"/>
        <v>0</v>
      </c>
      <c r="P64" s="113">
        <f t="shared" si="2"/>
        <v>700000</v>
      </c>
      <c r="Q64" s="113">
        <f t="shared" si="3"/>
        <v>700000</v>
      </c>
      <c r="R64" s="113">
        <f t="shared" si="4"/>
        <v>700000</v>
      </c>
    </row>
    <row r="65" spans="1:18">
      <c r="A65" s="11" t="s">
        <v>75</v>
      </c>
      <c r="B65" s="10" t="s">
        <v>42</v>
      </c>
      <c r="C65" s="10" t="s">
        <v>27</v>
      </c>
      <c r="D65" s="10" t="s">
        <v>20</v>
      </c>
      <c r="E65" s="66" t="s">
        <v>17</v>
      </c>
      <c r="F65" s="10" t="s">
        <v>127</v>
      </c>
      <c r="G65" s="10" t="s">
        <v>148</v>
      </c>
      <c r="H65" s="10" t="s">
        <v>153</v>
      </c>
      <c r="I65" s="17" t="s">
        <v>74</v>
      </c>
      <c r="J65" s="113">
        <v>700000</v>
      </c>
      <c r="K65" s="113">
        <v>700000</v>
      </c>
      <c r="L65" s="113">
        <v>700000</v>
      </c>
      <c r="M65" s="113"/>
      <c r="N65" s="113"/>
      <c r="O65" s="113"/>
      <c r="P65" s="113">
        <f t="shared" si="2"/>
        <v>700000</v>
      </c>
      <c r="Q65" s="113">
        <f t="shared" si="3"/>
        <v>700000</v>
      </c>
      <c r="R65" s="113">
        <f t="shared" si="4"/>
        <v>700000</v>
      </c>
    </row>
    <row r="66" spans="1:18">
      <c r="A66" s="2" t="s">
        <v>379</v>
      </c>
      <c r="B66" s="10" t="s">
        <v>42</v>
      </c>
      <c r="C66" s="10" t="s">
        <v>27</v>
      </c>
      <c r="D66" s="10" t="s">
        <v>20</v>
      </c>
      <c r="E66" s="66" t="s">
        <v>17</v>
      </c>
      <c r="F66" s="10" t="s">
        <v>127</v>
      </c>
      <c r="G66" s="10" t="s">
        <v>148</v>
      </c>
      <c r="H66" s="10" t="s">
        <v>154</v>
      </c>
      <c r="I66" s="17"/>
      <c r="J66" s="113">
        <f>J67</f>
        <v>60166660</v>
      </c>
      <c r="K66" s="113">
        <f t="shared" ref="K66:O67" si="28">K67</f>
        <v>61530611.119999997</v>
      </c>
      <c r="L66" s="113">
        <f t="shared" si="28"/>
        <v>62638980.219999999</v>
      </c>
      <c r="M66" s="113">
        <f t="shared" si="28"/>
        <v>0</v>
      </c>
      <c r="N66" s="113">
        <f t="shared" si="28"/>
        <v>0</v>
      </c>
      <c r="O66" s="113">
        <f t="shared" si="28"/>
        <v>0</v>
      </c>
      <c r="P66" s="113">
        <f t="shared" si="2"/>
        <v>60166660</v>
      </c>
      <c r="Q66" s="113">
        <f t="shared" si="3"/>
        <v>61530611.119999997</v>
      </c>
      <c r="R66" s="113">
        <f t="shared" si="4"/>
        <v>62638980.219999999</v>
      </c>
    </row>
    <row r="67" spans="1:18" ht="25.5">
      <c r="A67" s="7" t="s">
        <v>72</v>
      </c>
      <c r="B67" s="10" t="s">
        <v>42</v>
      </c>
      <c r="C67" s="10" t="s">
        <v>27</v>
      </c>
      <c r="D67" s="10" t="s">
        <v>20</v>
      </c>
      <c r="E67" s="66" t="s">
        <v>17</v>
      </c>
      <c r="F67" s="10" t="s">
        <v>127</v>
      </c>
      <c r="G67" s="10" t="s">
        <v>148</v>
      </c>
      <c r="H67" s="10" t="s">
        <v>154</v>
      </c>
      <c r="I67" s="17" t="s">
        <v>71</v>
      </c>
      <c r="J67" s="113">
        <f>J68</f>
        <v>60166660</v>
      </c>
      <c r="K67" s="113">
        <f t="shared" si="28"/>
        <v>61530611.119999997</v>
      </c>
      <c r="L67" s="113">
        <f t="shared" si="28"/>
        <v>62638980.219999999</v>
      </c>
      <c r="M67" s="113">
        <f t="shared" si="28"/>
        <v>0</v>
      </c>
      <c r="N67" s="113">
        <f t="shared" si="28"/>
        <v>0</v>
      </c>
      <c r="O67" s="113">
        <f t="shared" si="28"/>
        <v>0</v>
      </c>
      <c r="P67" s="113">
        <f t="shared" si="2"/>
        <v>60166660</v>
      </c>
      <c r="Q67" s="113">
        <f t="shared" si="3"/>
        <v>61530611.119999997</v>
      </c>
      <c r="R67" s="113">
        <f t="shared" si="4"/>
        <v>62638980.219999999</v>
      </c>
    </row>
    <row r="68" spans="1:18">
      <c r="A68" s="11" t="s">
        <v>75</v>
      </c>
      <c r="B68" s="10" t="s">
        <v>42</v>
      </c>
      <c r="C68" s="10" t="s">
        <v>27</v>
      </c>
      <c r="D68" s="10" t="s">
        <v>20</v>
      </c>
      <c r="E68" s="66" t="s">
        <v>17</v>
      </c>
      <c r="F68" s="10" t="s">
        <v>127</v>
      </c>
      <c r="G68" s="10" t="s">
        <v>148</v>
      </c>
      <c r="H68" s="10" t="s">
        <v>154</v>
      </c>
      <c r="I68" s="17" t="s">
        <v>74</v>
      </c>
      <c r="J68" s="113">
        <f>59666660+500000</f>
        <v>60166660</v>
      </c>
      <c r="K68" s="113">
        <f>61030611.12+500000</f>
        <v>61530611.119999997</v>
      </c>
      <c r="L68" s="113">
        <f>62438980.22+200000</f>
        <v>62638980.219999999</v>
      </c>
      <c r="M68" s="113"/>
      <c r="N68" s="113"/>
      <c r="O68" s="113"/>
      <c r="P68" s="113">
        <f t="shared" si="2"/>
        <v>60166660</v>
      </c>
      <c r="Q68" s="113">
        <f t="shared" si="3"/>
        <v>61530611.119999997</v>
      </c>
      <c r="R68" s="113">
        <f t="shared" si="4"/>
        <v>62638980.219999999</v>
      </c>
    </row>
    <row r="69" spans="1:18">
      <c r="A69" s="11" t="s">
        <v>380</v>
      </c>
      <c r="B69" s="10" t="s">
        <v>42</v>
      </c>
      <c r="C69" s="10" t="s">
        <v>27</v>
      </c>
      <c r="D69" s="10" t="s">
        <v>20</v>
      </c>
      <c r="E69" s="66" t="s">
        <v>17</v>
      </c>
      <c r="F69" s="10" t="s">
        <v>127</v>
      </c>
      <c r="G69" s="10" t="s">
        <v>148</v>
      </c>
      <c r="H69" s="10" t="s">
        <v>155</v>
      </c>
      <c r="I69" s="17"/>
      <c r="J69" s="113">
        <f>J70</f>
        <v>300000</v>
      </c>
      <c r="K69" s="113">
        <f t="shared" ref="K69:O70" si="29">K70</f>
        <v>300000</v>
      </c>
      <c r="L69" s="113">
        <f t="shared" si="29"/>
        <v>0</v>
      </c>
      <c r="M69" s="113">
        <f t="shared" si="29"/>
        <v>0</v>
      </c>
      <c r="N69" s="113">
        <f t="shared" si="29"/>
        <v>0</v>
      </c>
      <c r="O69" s="113">
        <f t="shared" si="29"/>
        <v>0</v>
      </c>
      <c r="P69" s="113">
        <f t="shared" si="2"/>
        <v>300000</v>
      </c>
      <c r="Q69" s="113">
        <f t="shared" si="3"/>
        <v>300000</v>
      </c>
      <c r="R69" s="113">
        <f t="shared" si="4"/>
        <v>0</v>
      </c>
    </row>
    <row r="70" spans="1:18" ht="25.5">
      <c r="A70" s="80" t="s">
        <v>260</v>
      </c>
      <c r="B70" s="10" t="s">
        <v>42</v>
      </c>
      <c r="C70" s="10" t="s">
        <v>27</v>
      </c>
      <c r="D70" s="10" t="s">
        <v>20</v>
      </c>
      <c r="E70" s="66" t="s">
        <v>17</v>
      </c>
      <c r="F70" s="10" t="s">
        <v>127</v>
      </c>
      <c r="G70" s="10" t="s">
        <v>148</v>
      </c>
      <c r="H70" s="10" t="s">
        <v>155</v>
      </c>
      <c r="I70" s="17" t="s">
        <v>94</v>
      </c>
      <c r="J70" s="113">
        <f>J71</f>
        <v>300000</v>
      </c>
      <c r="K70" s="113">
        <f t="shared" si="29"/>
        <v>300000</v>
      </c>
      <c r="L70" s="113">
        <f t="shared" si="29"/>
        <v>0</v>
      </c>
      <c r="M70" s="113">
        <f t="shared" si="29"/>
        <v>0</v>
      </c>
      <c r="N70" s="113">
        <f t="shared" si="29"/>
        <v>0</v>
      </c>
      <c r="O70" s="113">
        <f t="shared" si="29"/>
        <v>0</v>
      </c>
      <c r="P70" s="113">
        <f t="shared" si="2"/>
        <v>300000</v>
      </c>
      <c r="Q70" s="113">
        <f t="shared" si="3"/>
        <v>300000</v>
      </c>
      <c r="R70" s="113">
        <f t="shared" si="4"/>
        <v>0</v>
      </c>
    </row>
    <row r="71" spans="1:18" ht="25.5">
      <c r="A71" s="78" t="s">
        <v>98</v>
      </c>
      <c r="B71" s="10" t="s">
        <v>42</v>
      </c>
      <c r="C71" s="10" t="s">
        <v>27</v>
      </c>
      <c r="D71" s="10" t="s">
        <v>20</v>
      </c>
      <c r="E71" s="66" t="s">
        <v>17</v>
      </c>
      <c r="F71" s="10" t="s">
        <v>127</v>
      </c>
      <c r="G71" s="10" t="s">
        <v>148</v>
      </c>
      <c r="H71" s="10" t="s">
        <v>155</v>
      </c>
      <c r="I71" s="17" t="s">
        <v>95</v>
      </c>
      <c r="J71" s="113">
        <v>300000</v>
      </c>
      <c r="K71" s="113">
        <v>300000</v>
      </c>
      <c r="L71" s="113"/>
      <c r="M71" s="113"/>
      <c r="N71" s="113"/>
      <c r="O71" s="113"/>
      <c r="P71" s="113">
        <f t="shared" si="2"/>
        <v>300000</v>
      </c>
      <c r="Q71" s="113">
        <f t="shared" si="3"/>
        <v>300000</v>
      </c>
      <c r="R71" s="113">
        <f t="shared" si="4"/>
        <v>0</v>
      </c>
    </row>
    <row r="72" spans="1:18" ht="38.25">
      <c r="A72" s="2" t="s">
        <v>381</v>
      </c>
      <c r="B72" s="10" t="s">
        <v>42</v>
      </c>
      <c r="C72" s="10" t="s">
        <v>27</v>
      </c>
      <c r="D72" s="10" t="s">
        <v>20</v>
      </c>
      <c r="E72" s="66" t="s">
        <v>17</v>
      </c>
      <c r="F72" s="10" t="s">
        <v>127</v>
      </c>
      <c r="G72" s="10" t="s">
        <v>148</v>
      </c>
      <c r="H72" s="10" t="s">
        <v>156</v>
      </c>
      <c r="I72" s="17"/>
      <c r="J72" s="113">
        <f>J73</f>
        <v>619329</v>
      </c>
      <c r="K72" s="113">
        <f t="shared" ref="K72:O73" si="30">K73</f>
        <v>610500</v>
      </c>
      <c r="L72" s="113">
        <f t="shared" si="30"/>
        <v>634900</v>
      </c>
      <c r="M72" s="113">
        <f t="shared" si="30"/>
        <v>0</v>
      </c>
      <c r="N72" s="113">
        <f t="shared" si="30"/>
        <v>0</v>
      </c>
      <c r="O72" s="113">
        <f t="shared" si="30"/>
        <v>0</v>
      </c>
      <c r="P72" s="113">
        <f t="shared" si="2"/>
        <v>619329</v>
      </c>
      <c r="Q72" s="113">
        <f t="shared" si="3"/>
        <v>610500</v>
      </c>
      <c r="R72" s="113">
        <f t="shared" si="4"/>
        <v>634900</v>
      </c>
    </row>
    <row r="73" spans="1:18" ht="25.5">
      <c r="A73" s="7" t="s">
        <v>72</v>
      </c>
      <c r="B73" s="10" t="s">
        <v>42</v>
      </c>
      <c r="C73" s="10" t="s">
        <v>27</v>
      </c>
      <c r="D73" s="10" t="s">
        <v>20</v>
      </c>
      <c r="E73" s="66" t="s">
        <v>17</v>
      </c>
      <c r="F73" s="10" t="s">
        <v>127</v>
      </c>
      <c r="G73" s="10" t="s">
        <v>148</v>
      </c>
      <c r="H73" s="10" t="s">
        <v>156</v>
      </c>
      <c r="I73" s="17" t="s">
        <v>71</v>
      </c>
      <c r="J73" s="113">
        <f>J74</f>
        <v>619329</v>
      </c>
      <c r="K73" s="113">
        <f t="shared" si="30"/>
        <v>610500</v>
      </c>
      <c r="L73" s="113">
        <f t="shared" si="30"/>
        <v>634900</v>
      </c>
      <c r="M73" s="113">
        <f t="shared" si="30"/>
        <v>0</v>
      </c>
      <c r="N73" s="113">
        <f t="shared" si="30"/>
        <v>0</v>
      </c>
      <c r="O73" s="113">
        <f t="shared" si="30"/>
        <v>0</v>
      </c>
      <c r="P73" s="113">
        <f t="shared" si="2"/>
        <v>619329</v>
      </c>
      <c r="Q73" s="113">
        <f t="shared" si="3"/>
        <v>610500</v>
      </c>
      <c r="R73" s="113">
        <f t="shared" si="4"/>
        <v>634900</v>
      </c>
    </row>
    <row r="74" spans="1:18">
      <c r="A74" s="11" t="s">
        <v>75</v>
      </c>
      <c r="B74" s="10" t="s">
        <v>42</v>
      </c>
      <c r="C74" s="10" t="s">
        <v>27</v>
      </c>
      <c r="D74" s="10" t="s">
        <v>20</v>
      </c>
      <c r="E74" s="66" t="s">
        <v>17</v>
      </c>
      <c r="F74" s="10" t="s">
        <v>127</v>
      </c>
      <c r="G74" s="10" t="s">
        <v>148</v>
      </c>
      <c r="H74" s="10" t="s">
        <v>156</v>
      </c>
      <c r="I74" s="17" t="s">
        <v>74</v>
      </c>
      <c r="J74" s="113">
        <v>619329</v>
      </c>
      <c r="K74" s="113">
        <v>610500</v>
      </c>
      <c r="L74" s="113">
        <v>634900</v>
      </c>
      <c r="M74" s="113"/>
      <c r="N74" s="113"/>
      <c r="O74" s="113"/>
      <c r="P74" s="113">
        <f t="shared" si="2"/>
        <v>619329</v>
      </c>
      <c r="Q74" s="113">
        <f t="shared" si="3"/>
        <v>610500</v>
      </c>
      <c r="R74" s="113">
        <f t="shared" si="4"/>
        <v>634900</v>
      </c>
    </row>
    <row r="75" spans="1:18" ht="25.5">
      <c r="A75" s="11" t="s">
        <v>312</v>
      </c>
      <c r="B75" s="10" t="s">
        <v>42</v>
      </c>
      <c r="C75" s="10" t="s">
        <v>27</v>
      </c>
      <c r="D75" s="10" t="s">
        <v>20</v>
      </c>
      <c r="E75" s="66" t="s">
        <v>17</v>
      </c>
      <c r="F75" s="10" t="s">
        <v>127</v>
      </c>
      <c r="G75" s="10" t="s">
        <v>148</v>
      </c>
      <c r="H75" s="60" t="s">
        <v>311</v>
      </c>
      <c r="I75" s="17"/>
      <c r="J75" s="113">
        <f>J76</f>
        <v>250000</v>
      </c>
      <c r="K75" s="113">
        <f t="shared" ref="K75:O76" si="31">K76</f>
        <v>0</v>
      </c>
      <c r="L75" s="113">
        <f t="shared" si="31"/>
        <v>0</v>
      </c>
      <c r="M75" s="113">
        <f t="shared" si="31"/>
        <v>0</v>
      </c>
      <c r="N75" s="113">
        <f t="shared" si="31"/>
        <v>0</v>
      </c>
      <c r="O75" s="113">
        <f t="shared" si="31"/>
        <v>0</v>
      </c>
      <c r="P75" s="113">
        <f t="shared" si="2"/>
        <v>250000</v>
      </c>
      <c r="Q75" s="113">
        <f t="shared" si="3"/>
        <v>0</v>
      </c>
      <c r="R75" s="113">
        <f t="shared" si="4"/>
        <v>0</v>
      </c>
    </row>
    <row r="76" spans="1:18" ht="25.5">
      <c r="A76" s="7" t="s">
        <v>72</v>
      </c>
      <c r="B76" s="10" t="s">
        <v>42</v>
      </c>
      <c r="C76" s="10" t="s">
        <v>27</v>
      </c>
      <c r="D76" s="10" t="s">
        <v>20</v>
      </c>
      <c r="E76" s="66" t="s">
        <v>17</v>
      </c>
      <c r="F76" s="10" t="s">
        <v>127</v>
      </c>
      <c r="G76" s="10" t="s">
        <v>148</v>
      </c>
      <c r="H76" s="60" t="s">
        <v>311</v>
      </c>
      <c r="I76" s="129" t="s">
        <v>71</v>
      </c>
      <c r="J76" s="113">
        <f>J77</f>
        <v>250000</v>
      </c>
      <c r="K76" s="113">
        <f t="shared" si="31"/>
        <v>0</v>
      </c>
      <c r="L76" s="113">
        <f t="shared" si="31"/>
        <v>0</v>
      </c>
      <c r="M76" s="113">
        <f t="shared" si="31"/>
        <v>0</v>
      </c>
      <c r="N76" s="113">
        <f t="shared" si="31"/>
        <v>0</v>
      </c>
      <c r="O76" s="113">
        <f t="shared" si="31"/>
        <v>0</v>
      </c>
      <c r="P76" s="113">
        <f t="shared" si="2"/>
        <v>250000</v>
      </c>
      <c r="Q76" s="113">
        <f t="shared" si="3"/>
        <v>0</v>
      </c>
      <c r="R76" s="113">
        <f t="shared" si="4"/>
        <v>0</v>
      </c>
    </row>
    <row r="77" spans="1:18">
      <c r="A77" s="11" t="s">
        <v>75</v>
      </c>
      <c r="B77" s="10" t="s">
        <v>42</v>
      </c>
      <c r="C77" s="10" t="s">
        <v>27</v>
      </c>
      <c r="D77" s="10" t="s">
        <v>20</v>
      </c>
      <c r="E77" s="66" t="s">
        <v>17</v>
      </c>
      <c r="F77" s="10" t="s">
        <v>127</v>
      </c>
      <c r="G77" s="10" t="s">
        <v>148</v>
      </c>
      <c r="H77" s="60" t="s">
        <v>311</v>
      </c>
      <c r="I77" s="129" t="s">
        <v>74</v>
      </c>
      <c r="J77" s="113">
        <v>250000</v>
      </c>
      <c r="K77" s="113"/>
      <c r="L77" s="113"/>
      <c r="M77" s="113"/>
      <c r="N77" s="113"/>
      <c r="O77" s="113"/>
      <c r="P77" s="113">
        <f t="shared" si="2"/>
        <v>250000</v>
      </c>
      <c r="Q77" s="113">
        <f t="shared" si="3"/>
        <v>0</v>
      </c>
      <c r="R77" s="113">
        <f t="shared" si="4"/>
        <v>0</v>
      </c>
    </row>
    <row r="78" spans="1:18">
      <c r="A78" s="11" t="s">
        <v>423</v>
      </c>
      <c r="B78" s="10" t="s">
        <v>42</v>
      </c>
      <c r="C78" s="10" t="s">
        <v>27</v>
      </c>
      <c r="D78" s="10" t="s">
        <v>20</v>
      </c>
      <c r="E78" s="66" t="s">
        <v>17</v>
      </c>
      <c r="F78" s="10" t="s">
        <v>127</v>
      </c>
      <c r="G78" s="60" t="s">
        <v>421</v>
      </c>
      <c r="H78" s="60" t="s">
        <v>422</v>
      </c>
      <c r="I78" s="129"/>
      <c r="J78" s="113">
        <f>J79</f>
        <v>0</v>
      </c>
      <c r="K78" s="113">
        <f t="shared" ref="K78:O79" si="32">K79</f>
        <v>0</v>
      </c>
      <c r="L78" s="113">
        <f t="shared" si="32"/>
        <v>0</v>
      </c>
      <c r="M78" s="113">
        <f t="shared" si="32"/>
        <v>111111.11</v>
      </c>
      <c r="N78" s="113">
        <f t="shared" si="32"/>
        <v>0</v>
      </c>
      <c r="O78" s="113">
        <f t="shared" si="32"/>
        <v>0</v>
      </c>
      <c r="P78" s="113">
        <f t="shared" ref="P78:P79" si="33">J78+M78</f>
        <v>111111.11</v>
      </c>
      <c r="Q78" s="113">
        <f t="shared" ref="Q78:Q79" si="34">K78+N78</f>
        <v>0</v>
      </c>
      <c r="R78" s="113">
        <f t="shared" ref="R78:R79" si="35">L78+O78</f>
        <v>0</v>
      </c>
    </row>
    <row r="79" spans="1:18" ht="25.5">
      <c r="A79" s="7" t="s">
        <v>72</v>
      </c>
      <c r="B79" s="10" t="s">
        <v>42</v>
      </c>
      <c r="C79" s="10" t="s">
        <v>27</v>
      </c>
      <c r="D79" s="10" t="s">
        <v>20</v>
      </c>
      <c r="E79" s="66" t="s">
        <v>17</v>
      </c>
      <c r="F79" s="10" t="s">
        <v>127</v>
      </c>
      <c r="G79" s="60" t="s">
        <v>421</v>
      </c>
      <c r="H79" s="60" t="s">
        <v>422</v>
      </c>
      <c r="I79" s="129" t="s">
        <v>71</v>
      </c>
      <c r="J79" s="113">
        <f>J80</f>
        <v>0</v>
      </c>
      <c r="K79" s="113">
        <f t="shared" si="32"/>
        <v>0</v>
      </c>
      <c r="L79" s="113">
        <f t="shared" si="32"/>
        <v>0</v>
      </c>
      <c r="M79" s="113">
        <f t="shared" si="32"/>
        <v>111111.11</v>
      </c>
      <c r="N79" s="113">
        <f t="shared" si="32"/>
        <v>0</v>
      </c>
      <c r="O79" s="113">
        <f t="shared" si="32"/>
        <v>0</v>
      </c>
      <c r="P79" s="113">
        <f t="shared" si="33"/>
        <v>111111.11</v>
      </c>
      <c r="Q79" s="113">
        <f t="shared" si="34"/>
        <v>0</v>
      </c>
      <c r="R79" s="113">
        <f t="shared" si="35"/>
        <v>0</v>
      </c>
    </row>
    <row r="80" spans="1:18">
      <c r="A80" s="11" t="s">
        <v>75</v>
      </c>
      <c r="B80" s="10" t="s">
        <v>42</v>
      </c>
      <c r="C80" s="10" t="s">
        <v>27</v>
      </c>
      <c r="D80" s="10" t="s">
        <v>20</v>
      </c>
      <c r="E80" s="66" t="s">
        <v>17</v>
      </c>
      <c r="F80" s="10" t="s">
        <v>127</v>
      </c>
      <c r="G80" s="60" t="s">
        <v>421</v>
      </c>
      <c r="H80" s="60" t="s">
        <v>422</v>
      </c>
      <c r="I80" s="129" t="s">
        <v>74</v>
      </c>
      <c r="J80" s="113"/>
      <c r="K80" s="113"/>
      <c r="L80" s="113"/>
      <c r="M80" s="113">
        <v>111111.11</v>
      </c>
      <c r="N80" s="113"/>
      <c r="O80" s="113"/>
      <c r="P80" s="113">
        <f t="shared" ref="P80" si="36">J80+M80</f>
        <v>111111.11</v>
      </c>
      <c r="Q80" s="113">
        <f t="shared" ref="Q80" si="37">K80+N80</f>
        <v>0</v>
      </c>
      <c r="R80" s="113">
        <f t="shared" ref="R80" si="38">L80+O80</f>
        <v>0</v>
      </c>
    </row>
    <row r="81" spans="1:18" ht="25.5">
      <c r="A81" s="2" t="s">
        <v>135</v>
      </c>
      <c r="B81" s="10" t="s">
        <v>42</v>
      </c>
      <c r="C81" s="10" t="s">
        <v>27</v>
      </c>
      <c r="D81" s="10" t="s">
        <v>20</v>
      </c>
      <c r="E81" s="66" t="s">
        <v>17</v>
      </c>
      <c r="F81" s="10" t="s">
        <v>134</v>
      </c>
      <c r="G81" s="10" t="s">
        <v>148</v>
      </c>
      <c r="H81" s="10" t="s">
        <v>149</v>
      </c>
      <c r="I81" s="17"/>
      <c r="J81" s="113">
        <f>J88+J85+J82+J91+J100+J94+J97</f>
        <v>32993690.810000002</v>
      </c>
      <c r="K81" s="113">
        <f>K88+K85+K82+K91+K100+K94+K97</f>
        <v>32313712.100000001</v>
      </c>
      <c r="L81" s="113">
        <f>L88+L85+L82+L91+L100+L94+L97</f>
        <v>32029329.300000001</v>
      </c>
      <c r="M81" s="113">
        <f t="shared" ref="M81:O81" si="39">M88+M85+M82+M91+M100+M94+M97</f>
        <v>46761.040000000008</v>
      </c>
      <c r="N81" s="113">
        <f t="shared" si="39"/>
        <v>-32430.240000000002</v>
      </c>
      <c r="O81" s="113">
        <f t="shared" si="39"/>
        <v>262382.61</v>
      </c>
      <c r="P81" s="113">
        <f t="shared" si="2"/>
        <v>33040451.850000001</v>
      </c>
      <c r="Q81" s="113">
        <f t="shared" si="3"/>
        <v>32281281.860000003</v>
      </c>
      <c r="R81" s="113">
        <f t="shared" si="4"/>
        <v>32291711.91</v>
      </c>
    </row>
    <row r="82" spans="1:18" ht="25.5">
      <c r="A82" s="2" t="s">
        <v>377</v>
      </c>
      <c r="B82" s="10" t="s">
        <v>42</v>
      </c>
      <c r="C82" s="10" t="s">
        <v>27</v>
      </c>
      <c r="D82" s="10" t="s">
        <v>20</v>
      </c>
      <c r="E82" s="66" t="s">
        <v>17</v>
      </c>
      <c r="F82" s="10" t="s">
        <v>134</v>
      </c>
      <c r="G82" s="10" t="s">
        <v>148</v>
      </c>
      <c r="H82" s="60" t="s">
        <v>226</v>
      </c>
      <c r="I82" s="17"/>
      <c r="J82" s="113">
        <f>J83</f>
        <v>1100000</v>
      </c>
      <c r="K82" s="113">
        <f t="shared" ref="K82:O83" si="40">K83</f>
        <v>0</v>
      </c>
      <c r="L82" s="113">
        <f t="shared" si="40"/>
        <v>0</v>
      </c>
      <c r="M82" s="113">
        <f t="shared" si="40"/>
        <v>0</v>
      </c>
      <c r="N82" s="113">
        <f t="shared" si="40"/>
        <v>0</v>
      </c>
      <c r="O82" s="113">
        <f t="shared" si="40"/>
        <v>0</v>
      </c>
      <c r="P82" s="113">
        <f t="shared" si="2"/>
        <v>1100000</v>
      </c>
      <c r="Q82" s="113">
        <f t="shared" si="3"/>
        <v>0</v>
      </c>
      <c r="R82" s="113">
        <f t="shared" si="4"/>
        <v>0</v>
      </c>
    </row>
    <row r="83" spans="1:18" ht="25.5">
      <c r="A83" s="7" t="s">
        <v>72</v>
      </c>
      <c r="B83" s="10" t="s">
        <v>42</v>
      </c>
      <c r="C83" s="10" t="s">
        <v>27</v>
      </c>
      <c r="D83" s="10" t="s">
        <v>20</v>
      </c>
      <c r="E83" s="66" t="s">
        <v>17</v>
      </c>
      <c r="F83" s="10" t="s">
        <v>134</v>
      </c>
      <c r="G83" s="10" t="s">
        <v>148</v>
      </c>
      <c r="H83" s="60" t="s">
        <v>226</v>
      </c>
      <c r="I83" s="129" t="s">
        <v>71</v>
      </c>
      <c r="J83" s="113">
        <f>J84</f>
        <v>1100000</v>
      </c>
      <c r="K83" s="113">
        <f t="shared" si="40"/>
        <v>0</v>
      </c>
      <c r="L83" s="113">
        <f t="shared" si="40"/>
        <v>0</v>
      </c>
      <c r="M83" s="113">
        <f t="shared" si="40"/>
        <v>0</v>
      </c>
      <c r="N83" s="113">
        <f t="shared" si="40"/>
        <v>0</v>
      </c>
      <c r="O83" s="113">
        <f t="shared" si="40"/>
        <v>0</v>
      </c>
      <c r="P83" s="113">
        <f t="shared" si="2"/>
        <v>1100000</v>
      </c>
      <c r="Q83" s="113">
        <f t="shared" si="3"/>
        <v>0</v>
      </c>
      <c r="R83" s="113">
        <f t="shared" si="4"/>
        <v>0</v>
      </c>
    </row>
    <row r="84" spans="1:18">
      <c r="A84" s="11" t="s">
        <v>75</v>
      </c>
      <c r="B84" s="10" t="s">
        <v>42</v>
      </c>
      <c r="C84" s="10" t="s">
        <v>27</v>
      </c>
      <c r="D84" s="10" t="s">
        <v>20</v>
      </c>
      <c r="E84" s="66" t="s">
        <v>17</v>
      </c>
      <c r="F84" s="10" t="s">
        <v>134</v>
      </c>
      <c r="G84" s="10" t="s">
        <v>148</v>
      </c>
      <c r="H84" s="60" t="s">
        <v>226</v>
      </c>
      <c r="I84" s="129" t="s">
        <v>74</v>
      </c>
      <c r="J84" s="113">
        <v>1100000</v>
      </c>
      <c r="K84" s="113"/>
      <c r="L84" s="113"/>
      <c r="M84" s="113"/>
      <c r="N84" s="113"/>
      <c r="O84" s="113"/>
      <c r="P84" s="113">
        <f t="shared" si="2"/>
        <v>1100000</v>
      </c>
      <c r="Q84" s="113">
        <f t="shared" si="3"/>
        <v>0</v>
      </c>
      <c r="R84" s="113">
        <f t="shared" si="4"/>
        <v>0</v>
      </c>
    </row>
    <row r="85" spans="1:18">
      <c r="A85" s="2" t="s">
        <v>86</v>
      </c>
      <c r="B85" s="10" t="s">
        <v>42</v>
      </c>
      <c r="C85" s="10" t="s">
        <v>27</v>
      </c>
      <c r="D85" s="10" t="s">
        <v>20</v>
      </c>
      <c r="E85" s="66" t="s">
        <v>17</v>
      </c>
      <c r="F85" s="10" t="s">
        <v>134</v>
      </c>
      <c r="G85" s="10" t="s">
        <v>148</v>
      </c>
      <c r="H85" s="10" t="s">
        <v>157</v>
      </c>
      <c r="I85" s="17"/>
      <c r="J85" s="113">
        <f>J86</f>
        <v>30893146</v>
      </c>
      <c r="K85" s="113">
        <f t="shared" ref="K85:O86" si="41">K86</f>
        <v>31343649.16</v>
      </c>
      <c r="L85" s="113">
        <f t="shared" si="41"/>
        <v>31404445.41</v>
      </c>
      <c r="M85" s="113">
        <f t="shared" si="41"/>
        <v>0</v>
      </c>
      <c r="N85" s="113">
        <f t="shared" si="41"/>
        <v>0</v>
      </c>
      <c r="O85" s="113">
        <f t="shared" si="41"/>
        <v>0</v>
      </c>
      <c r="P85" s="113">
        <f t="shared" ref="P85:P148" si="42">J85+M85</f>
        <v>30893146</v>
      </c>
      <c r="Q85" s="113">
        <f t="shared" ref="Q85:Q148" si="43">K85+N85</f>
        <v>31343649.16</v>
      </c>
      <c r="R85" s="113">
        <f t="shared" ref="R85:R148" si="44">L85+O85</f>
        <v>31404445.41</v>
      </c>
    </row>
    <row r="86" spans="1:18" ht="25.5">
      <c r="A86" s="7" t="s">
        <v>72</v>
      </c>
      <c r="B86" s="10" t="s">
        <v>42</v>
      </c>
      <c r="C86" s="10" t="s">
        <v>27</v>
      </c>
      <c r="D86" s="10" t="s">
        <v>20</v>
      </c>
      <c r="E86" s="66" t="s">
        <v>17</v>
      </c>
      <c r="F86" s="10" t="s">
        <v>134</v>
      </c>
      <c r="G86" s="10" t="s">
        <v>148</v>
      </c>
      <c r="H86" s="10" t="s">
        <v>157</v>
      </c>
      <c r="I86" s="17" t="s">
        <v>71</v>
      </c>
      <c r="J86" s="113">
        <f>J87</f>
        <v>30893146</v>
      </c>
      <c r="K86" s="113">
        <f t="shared" si="41"/>
        <v>31343649.16</v>
      </c>
      <c r="L86" s="113">
        <f t="shared" si="41"/>
        <v>31404445.41</v>
      </c>
      <c r="M86" s="113">
        <f t="shared" si="41"/>
        <v>0</v>
      </c>
      <c r="N86" s="113">
        <f t="shared" si="41"/>
        <v>0</v>
      </c>
      <c r="O86" s="113">
        <f t="shared" si="41"/>
        <v>0</v>
      </c>
      <c r="P86" s="113">
        <f t="shared" si="42"/>
        <v>30893146</v>
      </c>
      <c r="Q86" s="113">
        <f t="shared" si="43"/>
        <v>31343649.16</v>
      </c>
      <c r="R86" s="113">
        <f t="shared" si="44"/>
        <v>31404445.41</v>
      </c>
    </row>
    <row r="87" spans="1:18">
      <c r="A87" s="11" t="s">
        <v>75</v>
      </c>
      <c r="B87" s="10" t="s">
        <v>42</v>
      </c>
      <c r="C87" s="10" t="s">
        <v>27</v>
      </c>
      <c r="D87" s="10" t="s">
        <v>20</v>
      </c>
      <c r="E87" s="66" t="s">
        <v>17</v>
      </c>
      <c r="F87" s="10" t="s">
        <v>134</v>
      </c>
      <c r="G87" s="10" t="s">
        <v>148</v>
      </c>
      <c r="H87" s="10" t="s">
        <v>157</v>
      </c>
      <c r="I87" s="17" t="s">
        <v>74</v>
      </c>
      <c r="J87" s="113">
        <f>30493146+400000</f>
        <v>30893146</v>
      </c>
      <c r="K87" s="113">
        <f>30943649.16+400000</f>
        <v>31343649.16</v>
      </c>
      <c r="L87" s="113">
        <f>31204445.41+200000</f>
        <v>31404445.41</v>
      </c>
      <c r="M87" s="113"/>
      <c r="N87" s="113"/>
      <c r="O87" s="113"/>
      <c r="P87" s="113">
        <f t="shared" si="42"/>
        <v>30893146</v>
      </c>
      <c r="Q87" s="113">
        <f t="shared" si="43"/>
        <v>31343649.16</v>
      </c>
      <c r="R87" s="113">
        <f t="shared" si="44"/>
        <v>31404445.41</v>
      </c>
    </row>
    <row r="88" spans="1:18">
      <c r="A88" s="2" t="s">
        <v>378</v>
      </c>
      <c r="B88" s="10" t="s">
        <v>42</v>
      </c>
      <c r="C88" s="10" t="s">
        <v>27</v>
      </c>
      <c r="D88" s="10" t="s">
        <v>20</v>
      </c>
      <c r="E88" s="66" t="s">
        <v>17</v>
      </c>
      <c r="F88" s="10" t="s">
        <v>134</v>
      </c>
      <c r="G88" s="10" t="s">
        <v>148</v>
      </c>
      <c r="H88" s="60" t="s">
        <v>153</v>
      </c>
      <c r="I88" s="17"/>
      <c r="J88" s="113">
        <f>J89</f>
        <v>20000</v>
      </c>
      <c r="K88" s="113">
        <f t="shared" ref="K88:O89" si="45">K89</f>
        <v>20000</v>
      </c>
      <c r="L88" s="113">
        <f>L89</f>
        <v>20000</v>
      </c>
      <c r="M88" s="113">
        <f t="shared" ref="M88:O88" si="46">M89</f>
        <v>0</v>
      </c>
      <c r="N88" s="113">
        <f t="shared" si="46"/>
        <v>0</v>
      </c>
      <c r="O88" s="113">
        <f t="shared" si="46"/>
        <v>0</v>
      </c>
      <c r="P88" s="113">
        <f t="shared" si="42"/>
        <v>20000</v>
      </c>
      <c r="Q88" s="113">
        <f t="shared" si="43"/>
        <v>20000</v>
      </c>
      <c r="R88" s="113">
        <f t="shared" si="44"/>
        <v>20000</v>
      </c>
    </row>
    <row r="89" spans="1:18" ht="25.5">
      <c r="A89" s="7" t="s">
        <v>72</v>
      </c>
      <c r="B89" s="10" t="s">
        <v>42</v>
      </c>
      <c r="C89" s="10" t="s">
        <v>27</v>
      </c>
      <c r="D89" s="10" t="s">
        <v>20</v>
      </c>
      <c r="E89" s="66" t="s">
        <v>17</v>
      </c>
      <c r="F89" s="10" t="s">
        <v>134</v>
      </c>
      <c r="G89" s="10" t="s">
        <v>148</v>
      </c>
      <c r="H89" s="60" t="s">
        <v>153</v>
      </c>
      <c r="I89" s="17" t="s">
        <v>71</v>
      </c>
      <c r="J89" s="113">
        <f>J90</f>
        <v>20000</v>
      </c>
      <c r="K89" s="113">
        <f t="shared" si="45"/>
        <v>20000</v>
      </c>
      <c r="L89" s="113">
        <f t="shared" si="45"/>
        <v>20000</v>
      </c>
      <c r="M89" s="113">
        <f t="shared" si="45"/>
        <v>0</v>
      </c>
      <c r="N89" s="113">
        <f t="shared" si="45"/>
        <v>0</v>
      </c>
      <c r="O89" s="113">
        <f t="shared" si="45"/>
        <v>0</v>
      </c>
      <c r="P89" s="113">
        <f t="shared" si="42"/>
        <v>20000</v>
      </c>
      <c r="Q89" s="113">
        <f t="shared" si="43"/>
        <v>20000</v>
      </c>
      <c r="R89" s="113">
        <f t="shared" si="44"/>
        <v>20000</v>
      </c>
    </row>
    <row r="90" spans="1:18">
      <c r="A90" s="11" t="s">
        <v>75</v>
      </c>
      <c r="B90" s="10" t="s">
        <v>42</v>
      </c>
      <c r="C90" s="10" t="s">
        <v>27</v>
      </c>
      <c r="D90" s="10" t="s">
        <v>20</v>
      </c>
      <c r="E90" s="66" t="s">
        <v>17</v>
      </c>
      <c r="F90" s="10" t="s">
        <v>134</v>
      </c>
      <c r="G90" s="10" t="s">
        <v>148</v>
      </c>
      <c r="H90" s="60" t="s">
        <v>153</v>
      </c>
      <c r="I90" s="17" t="s">
        <v>74</v>
      </c>
      <c r="J90" s="113">
        <v>20000</v>
      </c>
      <c r="K90" s="113">
        <v>20000</v>
      </c>
      <c r="L90" s="113">
        <v>20000</v>
      </c>
      <c r="M90" s="113"/>
      <c r="N90" s="113"/>
      <c r="O90" s="113"/>
      <c r="P90" s="113">
        <f t="shared" si="42"/>
        <v>20000</v>
      </c>
      <c r="Q90" s="113">
        <f t="shared" si="43"/>
        <v>20000</v>
      </c>
      <c r="R90" s="113">
        <f t="shared" si="44"/>
        <v>20000</v>
      </c>
    </row>
    <row r="91" spans="1:18" ht="38.25">
      <c r="A91" s="2" t="s">
        <v>381</v>
      </c>
      <c r="B91" s="10" t="s">
        <v>42</v>
      </c>
      <c r="C91" s="10" t="s">
        <v>27</v>
      </c>
      <c r="D91" s="10" t="s">
        <v>20</v>
      </c>
      <c r="E91" s="66" t="s">
        <v>17</v>
      </c>
      <c r="F91" s="10" t="s">
        <v>134</v>
      </c>
      <c r="G91" s="10" t="s">
        <v>148</v>
      </c>
      <c r="H91" s="10" t="s">
        <v>156</v>
      </c>
      <c r="I91" s="17"/>
      <c r="J91" s="113">
        <f>J92</f>
        <v>527218</v>
      </c>
      <c r="K91" s="113">
        <f t="shared" ref="K91:O92" si="47">K92</f>
        <v>512783</v>
      </c>
      <c r="L91" s="113">
        <f t="shared" si="47"/>
        <v>533293</v>
      </c>
      <c r="M91" s="113">
        <f t="shared" si="47"/>
        <v>0</v>
      </c>
      <c r="N91" s="113">
        <f t="shared" si="47"/>
        <v>0</v>
      </c>
      <c r="O91" s="113">
        <f t="shared" si="47"/>
        <v>0</v>
      </c>
      <c r="P91" s="113">
        <f t="shared" si="42"/>
        <v>527218</v>
      </c>
      <c r="Q91" s="113">
        <f t="shared" si="43"/>
        <v>512783</v>
      </c>
      <c r="R91" s="113">
        <f t="shared" si="44"/>
        <v>533293</v>
      </c>
    </row>
    <row r="92" spans="1:18" ht="25.5">
      <c r="A92" s="7" t="s">
        <v>72</v>
      </c>
      <c r="B92" s="10" t="s">
        <v>42</v>
      </c>
      <c r="C92" s="10" t="s">
        <v>27</v>
      </c>
      <c r="D92" s="10" t="s">
        <v>20</v>
      </c>
      <c r="E92" s="66" t="s">
        <v>17</v>
      </c>
      <c r="F92" s="10" t="s">
        <v>134</v>
      </c>
      <c r="G92" s="10" t="s">
        <v>148</v>
      </c>
      <c r="H92" s="10" t="s">
        <v>156</v>
      </c>
      <c r="I92" s="17" t="s">
        <v>71</v>
      </c>
      <c r="J92" s="113">
        <f>J93</f>
        <v>527218</v>
      </c>
      <c r="K92" s="113">
        <f t="shared" si="47"/>
        <v>512783</v>
      </c>
      <c r="L92" s="113">
        <f t="shared" si="47"/>
        <v>533293</v>
      </c>
      <c r="M92" s="113">
        <f t="shared" si="47"/>
        <v>0</v>
      </c>
      <c r="N92" s="113">
        <f t="shared" si="47"/>
        <v>0</v>
      </c>
      <c r="O92" s="113">
        <f t="shared" si="47"/>
        <v>0</v>
      </c>
      <c r="P92" s="113">
        <f t="shared" si="42"/>
        <v>527218</v>
      </c>
      <c r="Q92" s="113">
        <f t="shared" si="43"/>
        <v>512783</v>
      </c>
      <c r="R92" s="113">
        <f t="shared" si="44"/>
        <v>533293</v>
      </c>
    </row>
    <row r="93" spans="1:18">
      <c r="A93" s="11" t="s">
        <v>75</v>
      </c>
      <c r="B93" s="10" t="s">
        <v>42</v>
      </c>
      <c r="C93" s="10" t="s">
        <v>27</v>
      </c>
      <c r="D93" s="10" t="s">
        <v>20</v>
      </c>
      <c r="E93" s="66" t="s">
        <v>17</v>
      </c>
      <c r="F93" s="10" t="s">
        <v>134</v>
      </c>
      <c r="G93" s="10" t="s">
        <v>148</v>
      </c>
      <c r="H93" s="10" t="s">
        <v>156</v>
      </c>
      <c r="I93" s="17" t="s">
        <v>74</v>
      </c>
      <c r="J93" s="113">
        <v>527218</v>
      </c>
      <c r="K93" s="113">
        <v>512783</v>
      </c>
      <c r="L93" s="113">
        <v>533293</v>
      </c>
      <c r="M93" s="113"/>
      <c r="N93" s="113"/>
      <c r="O93" s="113"/>
      <c r="P93" s="113">
        <f t="shared" si="42"/>
        <v>527218</v>
      </c>
      <c r="Q93" s="113">
        <f t="shared" si="43"/>
        <v>512783</v>
      </c>
      <c r="R93" s="113">
        <f t="shared" si="44"/>
        <v>533293</v>
      </c>
    </row>
    <row r="94" spans="1:18" ht="51">
      <c r="A94" s="2" t="s">
        <v>262</v>
      </c>
      <c r="B94" s="10" t="s">
        <v>42</v>
      </c>
      <c r="C94" s="10" t="s">
        <v>27</v>
      </c>
      <c r="D94" s="10" t="s">
        <v>20</v>
      </c>
      <c r="E94" s="10" t="s">
        <v>17</v>
      </c>
      <c r="F94" s="10" t="s">
        <v>134</v>
      </c>
      <c r="G94" s="10" t="s">
        <v>148</v>
      </c>
      <c r="H94" s="60" t="s">
        <v>263</v>
      </c>
      <c r="I94" s="17"/>
      <c r="J94" s="113">
        <f>J95</f>
        <v>16046.87</v>
      </c>
      <c r="K94" s="113">
        <f t="shared" ref="K94:O95" si="48">K95</f>
        <v>0</v>
      </c>
      <c r="L94" s="113">
        <f t="shared" si="48"/>
        <v>0</v>
      </c>
      <c r="M94" s="113">
        <f t="shared" si="48"/>
        <v>-16046.87</v>
      </c>
      <c r="N94" s="113">
        <f t="shared" si="48"/>
        <v>0</v>
      </c>
      <c r="O94" s="113">
        <f t="shared" si="48"/>
        <v>0</v>
      </c>
      <c r="P94" s="113">
        <f t="shared" si="42"/>
        <v>0</v>
      </c>
      <c r="Q94" s="113">
        <f t="shared" si="43"/>
        <v>0</v>
      </c>
      <c r="R94" s="113">
        <f t="shared" si="44"/>
        <v>0</v>
      </c>
    </row>
    <row r="95" spans="1:18" ht="25.5">
      <c r="A95" s="7" t="s">
        <v>72</v>
      </c>
      <c r="B95" s="10" t="s">
        <v>42</v>
      </c>
      <c r="C95" s="10" t="s">
        <v>27</v>
      </c>
      <c r="D95" s="10" t="s">
        <v>20</v>
      </c>
      <c r="E95" s="10" t="s">
        <v>17</v>
      </c>
      <c r="F95" s="10" t="s">
        <v>134</v>
      </c>
      <c r="G95" s="10" t="s">
        <v>148</v>
      </c>
      <c r="H95" s="60" t="s">
        <v>263</v>
      </c>
      <c r="I95" s="17" t="s">
        <v>71</v>
      </c>
      <c r="J95" s="113">
        <f>J96</f>
        <v>16046.87</v>
      </c>
      <c r="K95" s="113">
        <f t="shared" si="48"/>
        <v>0</v>
      </c>
      <c r="L95" s="113">
        <f t="shared" si="48"/>
        <v>0</v>
      </c>
      <c r="M95" s="113">
        <f t="shared" si="48"/>
        <v>-16046.87</v>
      </c>
      <c r="N95" s="113">
        <f t="shared" si="48"/>
        <v>0</v>
      </c>
      <c r="O95" s="113">
        <f t="shared" si="48"/>
        <v>0</v>
      </c>
      <c r="P95" s="113">
        <f t="shared" si="42"/>
        <v>0</v>
      </c>
      <c r="Q95" s="113">
        <f t="shared" si="43"/>
        <v>0</v>
      </c>
      <c r="R95" s="113">
        <f t="shared" si="44"/>
        <v>0</v>
      </c>
    </row>
    <row r="96" spans="1:18">
      <c r="A96" s="11" t="s">
        <v>75</v>
      </c>
      <c r="B96" s="10" t="s">
        <v>42</v>
      </c>
      <c r="C96" s="10" t="s">
        <v>27</v>
      </c>
      <c r="D96" s="10" t="s">
        <v>20</v>
      </c>
      <c r="E96" s="10" t="s">
        <v>17</v>
      </c>
      <c r="F96" s="10" t="s">
        <v>134</v>
      </c>
      <c r="G96" s="10" t="s">
        <v>148</v>
      </c>
      <c r="H96" s="60" t="s">
        <v>263</v>
      </c>
      <c r="I96" s="17" t="s">
        <v>74</v>
      </c>
      <c r="J96" s="113">
        <v>16046.87</v>
      </c>
      <c r="K96" s="113"/>
      <c r="L96" s="113"/>
      <c r="M96" s="113">
        <v>-16046.87</v>
      </c>
      <c r="N96" s="113"/>
      <c r="O96" s="113"/>
      <c r="P96" s="113">
        <f t="shared" si="42"/>
        <v>0</v>
      </c>
      <c r="Q96" s="113">
        <f t="shared" si="43"/>
        <v>0</v>
      </c>
      <c r="R96" s="113">
        <f t="shared" si="44"/>
        <v>0</v>
      </c>
    </row>
    <row r="97" spans="1:18" ht="25.5">
      <c r="A97" s="143" t="s">
        <v>303</v>
      </c>
      <c r="B97" s="10" t="s">
        <v>42</v>
      </c>
      <c r="C97" s="10" t="s">
        <v>27</v>
      </c>
      <c r="D97" s="10" t="s">
        <v>20</v>
      </c>
      <c r="E97" s="10" t="s">
        <v>17</v>
      </c>
      <c r="F97" s="10" t="s">
        <v>134</v>
      </c>
      <c r="G97" s="10" t="s">
        <v>148</v>
      </c>
      <c r="H97" s="60" t="s">
        <v>302</v>
      </c>
      <c r="I97" s="17"/>
      <c r="J97" s="113">
        <f>J98</f>
        <v>71590.89</v>
      </c>
      <c r="K97" s="113">
        <f t="shared" ref="K97:O98" si="49">K98</f>
        <v>71590.89</v>
      </c>
      <c r="L97" s="113">
        <f t="shared" si="49"/>
        <v>71590.89</v>
      </c>
      <c r="M97" s="113">
        <f t="shared" si="49"/>
        <v>95075.82</v>
      </c>
      <c r="N97" s="113">
        <f t="shared" si="49"/>
        <v>-162.33000000000001</v>
      </c>
      <c r="O97" s="113">
        <f t="shared" si="49"/>
        <v>-162.33000000000001</v>
      </c>
      <c r="P97" s="113">
        <f t="shared" si="42"/>
        <v>166666.71000000002</v>
      </c>
      <c r="Q97" s="113">
        <f t="shared" si="43"/>
        <v>71428.56</v>
      </c>
      <c r="R97" s="113">
        <f t="shared" si="44"/>
        <v>71428.56</v>
      </c>
    </row>
    <row r="98" spans="1:18" ht="25.5">
      <c r="A98" s="7" t="s">
        <v>72</v>
      </c>
      <c r="B98" s="10" t="s">
        <v>42</v>
      </c>
      <c r="C98" s="10" t="s">
        <v>27</v>
      </c>
      <c r="D98" s="10" t="s">
        <v>20</v>
      </c>
      <c r="E98" s="10" t="s">
        <v>17</v>
      </c>
      <c r="F98" s="10" t="s">
        <v>134</v>
      </c>
      <c r="G98" s="10" t="s">
        <v>148</v>
      </c>
      <c r="H98" s="60" t="s">
        <v>302</v>
      </c>
      <c r="I98" s="129" t="s">
        <v>71</v>
      </c>
      <c r="J98" s="113">
        <f>J99</f>
        <v>71590.89</v>
      </c>
      <c r="K98" s="113">
        <f t="shared" si="49"/>
        <v>71590.89</v>
      </c>
      <c r="L98" s="113">
        <f t="shared" si="49"/>
        <v>71590.89</v>
      </c>
      <c r="M98" s="113">
        <f t="shared" si="49"/>
        <v>95075.82</v>
      </c>
      <c r="N98" s="113">
        <f t="shared" si="49"/>
        <v>-162.33000000000001</v>
      </c>
      <c r="O98" s="113">
        <f t="shared" si="49"/>
        <v>-162.33000000000001</v>
      </c>
      <c r="P98" s="113">
        <f t="shared" si="42"/>
        <v>166666.71000000002</v>
      </c>
      <c r="Q98" s="113">
        <f t="shared" si="43"/>
        <v>71428.56</v>
      </c>
      <c r="R98" s="113">
        <f t="shared" si="44"/>
        <v>71428.56</v>
      </c>
    </row>
    <row r="99" spans="1:18">
      <c r="A99" s="11" t="s">
        <v>75</v>
      </c>
      <c r="B99" s="10" t="s">
        <v>42</v>
      </c>
      <c r="C99" s="10" t="s">
        <v>27</v>
      </c>
      <c r="D99" s="10" t="s">
        <v>20</v>
      </c>
      <c r="E99" s="10" t="s">
        <v>17</v>
      </c>
      <c r="F99" s="10" t="s">
        <v>134</v>
      </c>
      <c r="G99" s="10" t="s">
        <v>148</v>
      </c>
      <c r="H99" s="60" t="s">
        <v>302</v>
      </c>
      <c r="I99" s="129" t="s">
        <v>74</v>
      </c>
      <c r="J99" s="113">
        <v>71590.89</v>
      </c>
      <c r="K99" s="113">
        <v>71590.89</v>
      </c>
      <c r="L99" s="113">
        <v>71590.89</v>
      </c>
      <c r="M99" s="113">
        <v>95075.82</v>
      </c>
      <c r="N99" s="113">
        <v>-162.33000000000001</v>
      </c>
      <c r="O99" s="113">
        <v>-162.33000000000001</v>
      </c>
      <c r="P99" s="113">
        <f t="shared" si="42"/>
        <v>166666.71000000002</v>
      </c>
      <c r="Q99" s="113">
        <f t="shared" si="43"/>
        <v>71428.56</v>
      </c>
      <c r="R99" s="113">
        <f t="shared" si="44"/>
        <v>71428.56</v>
      </c>
    </row>
    <row r="100" spans="1:18" ht="38.25">
      <c r="A100" s="143" t="s">
        <v>264</v>
      </c>
      <c r="B100" s="1" t="s">
        <v>42</v>
      </c>
      <c r="C100" s="1" t="s">
        <v>27</v>
      </c>
      <c r="D100" s="1" t="s">
        <v>20</v>
      </c>
      <c r="E100" s="1" t="s">
        <v>17</v>
      </c>
      <c r="F100" s="1" t="s">
        <v>134</v>
      </c>
      <c r="G100" s="1" t="s">
        <v>148</v>
      </c>
      <c r="H100" s="1" t="s">
        <v>265</v>
      </c>
      <c r="I100" s="13"/>
      <c r="J100" s="113">
        <f>J101</f>
        <v>365689.05</v>
      </c>
      <c r="K100" s="113">
        <f t="shared" ref="K100:O101" si="50">K101</f>
        <v>365689.05</v>
      </c>
      <c r="L100" s="113">
        <f t="shared" si="50"/>
        <v>0</v>
      </c>
      <c r="M100" s="113">
        <f t="shared" si="50"/>
        <v>-32267.91</v>
      </c>
      <c r="N100" s="113">
        <f t="shared" si="50"/>
        <v>-32267.91</v>
      </c>
      <c r="O100" s="113">
        <f t="shared" si="50"/>
        <v>262544.94</v>
      </c>
      <c r="P100" s="113">
        <f t="shared" si="42"/>
        <v>333421.14</v>
      </c>
      <c r="Q100" s="113">
        <f t="shared" si="43"/>
        <v>333421.14</v>
      </c>
      <c r="R100" s="113">
        <f t="shared" si="44"/>
        <v>262544.94</v>
      </c>
    </row>
    <row r="101" spans="1:18" ht="25.5">
      <c r="A101" s="7" t="s">
        <v>72</v>
      </c>
      <c r="B101" s="10" t="s">
        <v>42</v>
      </c>
      <c r="C101" s="10" t="s">
        <v>27</v>
      </c>
      <c r="D101" s="10" t="s">
        <v>20</v>
      </c>
      <c r="E101" s="10" t="s">
        <v>17</v>
      </c>
      <c r="F101" s="10" t="s">
        <v>134</v>
      </c>
      <c r="G101" s="10" t="s">
        <v>148</v>
      </c>
      <c r="H101" s="60" t="s">
        <v>265</v>
      </c>
      <c r="I101" s="129" t="s">
        <v>71</v>
      </c>
      <c r="J101" s="113">
        <f>J102</f>
        <v>365689.05</v>
      </c>
      <c r="K101" s="113">
        <f t="shared" si="50"/>
        <v>365689.05</v>
      </c>
      <c r="L101" s="113">
        <f t="shared" si="50"/>
        <v>0</v>
      </c>
      <c r="M101" s="113">
        <f t="shared" si="50"/>
        <v>-32267.91</v>
      </c>
      <c r="N101" s="113">
        <f t="shared" si="50"/>
        <v>-32267.91</v>
      </c>
      <c r="O101" s="113">
        <f t="shared" si="50"/>
        <v>262544.94</v>
      </c>
      <c r="P101" s="113">
        <f t="shared" si="42"/>
        <v>333421.14</v>
      </c>
      <c r="Q101" s="113">
        <f t="shared" si="43"/>
        <v>333421.14</v>
      </c>
      <c r="R101" s="113">
        <f t="shared" si="44"/>
        <v>262544.94</v>
      </c>
    </row>
    <row r="102" spans="1:18">
      <c r="A102" s="11" t="s">
        <v>75</v>
      </c>
      <c r="B102" s="10" t="s">
        <v>42</v>
      </c>
      <c r="C102" s="10" t="s">
        <v>27</v>
      </c>
      <c r="D102" s="10" t="s">
        <v>20</v>
      </c>
      <c r="E102" s="10" t="s">
        <v>17</v>
      </c>
      <c r="F102" s="10" t="s">
        <v>134</v>
      </c>
      <c r="G102" s="10" t="s">
        <v>148</v>
      </c>
      <c r="H102" s="60" t="s">
        <v>265</v>
      </c>
      <c r="I102" s="129" t="s">
        <v>74</v>
      </c>
      <c r="J102" s="113">
        <f>294506.8+71182.25</f>
        <v>365689.05</v>
      </c>
      <c r="K102" s="113">
        <f>294506.8+71182.25</f>
        <v>365689.05</v>
      </c>
      <c r="L102" s="113"/>
      <c r="M102" s="113">
        <v>-32267.91</v>
      </c>
      <c r="N102" s="113">
        <v>-32267.91</v>
      </c>
      <c r="O102" s="113">
        <v>262544.94</v>
      </c>
      <c r="P102" s="113">
        <f t="shared" si="42"/>
        <v>333421.14</v>
      </c>
      <c r="Q102" s="113">
        <f t="shared" si="43"/>
        <v>333421.14</v>
      </c>
      <c r="R102" s="113">
        <f t="shared" si="44"/>
        <v>262544.94</v>
      </c>
    </row>
    <row r="103" spans="1:18" ht="15" customHeight="1">
      <c r="A103" s="2" t="s">
        <v>314</v>
      </c>
      <c r="B103" s="66" t="s">
        <v>42</v>
      </c>
      <c r="C103" s="10" t="s">
        <v>27</v>
      </c>
      <c r="D103" s="10" t="s">
        <v>20</v>
      </c>
      <c r="E103" s="10" t="s">
        <v>17</v>
      </c>
      <c r="F103" s="1" t="s">
        <v>44</v>
      </c>
      <c r="G103" s="1" t="s">
        <v>148</v>
      </c>
      <c r="H103" s="1" t="s">
        <v>149</v>
      </c>
      <c r="I103" s="13"/>
      <c r="J103" s="116">
        <f>J104+J107</f>
        <v>4615689</v>
      </c>
      <c r="K103" s="116">
        <f t="shared" ref="K103:L103" si="51">K104+K107</f>
        <v>4669393.22</v>
      </c>
      <c r="L103" s="116">
        <f t="shared" si="51"/>
        <v>4731810.74</v>
      </c>
      <c r="M103" s="116">
        <f t="shared" ref="M103:O103" si="52">M104+M107</f>
        <v>0</v>
      </c>
      <c r="N103" s="116">
        <f t="shared" si="52"/>
        <v>0</v>
      </c>
      <c r="O103" s="116">
        <f t="shared" si="52"/>
        <v>0</v>
      </c>
      <c r="P103" s="116">
        <f t="shared" si="42"/>
        <v>4615689</v>
      </c>
      <c r="Q103" s="116">
        <f t="shared" si="43"/>
        <v>4669393.22</v>
      </c>
      <c r="R103" s="116">
        <f t="shared" si="44"/>
        <v>4731810.74</v>
      </c>
    </row>
    <row r="104" spans="1:18" ht="15.75" customHeight="1">
      <c r="A104" s="2" t="s">
        <v>189</v>
      </c>
      <c r="B104" s="66" t="s">
        <v>42</v>
      </c>
      <c r="C104" s="10" t="s">
        <v>27</v>
      </c>
      <c r="D104" s="10" t="s">
        <v>20</v>
      </c>
      <c r="E104" s="10" t="s">
        <v>17</v>
      </c>
      <c r="F104" s="1" t="s">
        <v>44</v>
      </c>
      <c r="G104" s="1" t="s">
        <v>148</v>
      </c>
      <c r="H104" s="1" t="s">
        <v>188</v>
      </c>
      <c r="I104" s="13"/>
      <c r="J104" s="116">
        <f>J105</f>
        <v>4478350</v>
      </c>
      <c r="K104" s="116">
        <f t="shared" ref="K104:O105" si="53">K105</f>
        <v>4534720.22</v>
      </c>
      <c r="L104" s="116">
        <f t="shared" si="53"/>
        <v>4591710.74</v>
      </c>
      <c r="M104" s="116">
        <f t="shared" si="53"/>
        <v>0</v>
      </c>
      <c r="N104" s="116">
        <f t="shared" si="53"/>
        <v>0</v>
      </c>
      <c r="O104" s="116">
        <f t="shared" si="53"/>
        <v>0</v>
      </c>
      <c r="P104" s="116">
        <f t="shared" si="42"/>
        <v>4478350</v>
      </c>
      <c r="Q104" s="116">
        <f t="shared" si="43"/>
        <v>4534720.22</v>
      </c>
      <c r="R104" s="116">
        <f t="shared" si="44"/>
        <v>4591710.74</v>
      </c>
    </row>
    <row r="105" spans="1:18" ht="25.5">
      <c r="A105" s="7" t="s">
        <v>72</v>
      </c>
      <c r="B105" s="66" t="s">
        <v>42</v>
      </c>
      <c r="C105" s="10" t="s">
        <v>27</v>
      </c>
      <c r="D105" s="10" t="s">
        <v>20</v>
      </c>
      <c r="E105" s="10" t="s">
        <v>17</v>
      </c>
      <c r="F105" s="1" t="s">
        <v>44</v>
      </c>
      <c r="G105" s="1" t="s">
        <v>148</v>
      </c>
      <c r="H105" s="1" t="s">
        <v>188</v>
      </c>
      <c r="I105" s="13" t="s">
        <v>71</v>
      </c>
      <c r="J105" s="116">
        <f>J106</f>
        <v>4478350</v>
      </c>
      <c r="K105" s="116">
        <f t="shared" si="53"/>
        <v>4534720.22</v>
      </c>
      <c r="L105" s="116">
        <f t="shared" si="53"/>
        <v>4591710.74</v>
      </c>
      <c r="M105" s="116">
        <f t="shared" si="53"/>
        <v>0</v>
      </c>
      <c r="N105" s="116">
        <f t="shared" si="53"/>
        <v>0</v>
      </c>
      <c r="O105" s="116">
        <f t="shared" si="53"/>
        <v>0</v>
      </c>
      <c r="P105" s="116">
        <f t="shared" si="42"/>
        <v>4478350</v>
      </c>
      <c r="Q105" s="116">
        <f t="shared" si="43"/>
        <v>4534720.22</v>
      </c>
      <c r="R105" s="116">
        <f t="shared" si="44"/>
        <v>4591710.74</v>
      </c>
    </row>
    <row r="106" spans="1:18">
      <c r="A106" s="11" t="s">
        <v>75</v>
      </c>
      <c r="B106" s="66" t="s">
        <v>42</v>
      </c>
      <c r="C106" s="10" t="s">
        <v>27</v>
      </c>
      <c r="D106" s="10" t="s">
        <v>20</v>
      </c>
      <c r="E106" s="10" t="s">
        <v>17</v>
      </c>
      <c r="F106" s="1" t="s">
        <v>44</v>
      </c>
      <c r="G106" s="1" t="s">
        <v>148</v>
      </c>
      <c r="H106" s="1" t="s">
        <v>188</v>
      </c>
      <c r="I106" s="13" t="s">
        <v>74</v>
      </c>
      <c r="J106" s="116">
        <f>4428350+50000</f>
        <v>4478350</v>
      </c>
      <c r="K106" s="116">
        <f>4484720.22+50000</f>
        <v>4534720.22</v>
      </c>
      <c r="L106" s="116">
        <f>4541710.74+50000</f>
        <v>4591710.74</v>
      </c>
      <c r="M106" s="116"/>
      <c r="N106" s="116"/>
      <c r="O106" s="116"/>
      <c r="P106" s="116">
        <f t="shared" si="42"/>
        <v>4478350</v>
      </c>
      <c r="Q106" s="116">
        <f t="shared" si="43"/>
        <v>4534720.22</v>
      </c>
      <c r="R106" s="116">
        <f t="shared" si="44"/>
        <v>4591710.74</v>
      </c>
    </row>
    <row r="107" spans="1:18" ht="38.25">
      <c r="A107" s="2" t="s">
        <v>381</v>
      </c>
      <c r="B107" s="66" t="s">
        <v>42</v>
      </c>
      <c r="C107" s="10" t="s">
        <v>27</v>
      </c>
      <c r="D107" s="10" t="s">
        <v>20</v>
      </c>
      <c r="E107" s="10" t="s">
        <v>17</v>
      </c>
      <c r="F107" s="1" t="s">
        <v>44</v>
      </c>
      <c r="G107" s="1" t="s">
        <v>148</v>
      </c>
      <c r="H107" s="1" t="s">
        <v>156</v>
      </c>
      <c r="I107" s="13"/>
      <c r="J107" s="116">
        <f>J108</f>
        <v>137339</v>
      </c>
      <c r="K107" s="116">
        <f t="shared" ref="K107:O108" si="54">K108</f>
        <v>134673</v>
      </c>
      <c r="L107" s="116">
        <f t="shared" si="54"/>
        <v>140100</v>
      </c>
      <c r="M107" s="116">
        <f t="shared" si="54"/>
        <v>0</v>
      </c>
      <c r="N107" s="116">
        <f t="shared" si="54"/>
        <v>0</v>
      </c>
      <c r="O107" s="116">
        <f t="shared" si="54"/>
        <v>0</v>
      </c>
      <c r="P107" s="116">
        <f t="shared" si="42"/>
        <v>137339</v>
      </c>
      <c r="Q107" s="116">
        <f t="shared" si="43"/>
        <v>134673</v>
      </c>
      <c r="R107" s="116">
        <f t="shared" si="44"/>
        <v>140100</v>
      </c>
    </row>
    <row r="108" spans="1:18" ht="25.5">
      <c r="A108" s="7" t="s">
        <v>72</v>
      </c>
      <c r="B108" s="66" t="s">
        <v>42</v>
      </c>
      <c r="C108" s="10" t="s">
        <v>27</v>
      </c>
      <c r="D108" s="10" t="s">
        <v>20</v>
      </c>
      <c r="E108" s="10" t="s">
        <v>17</v>
      </c>
      <c r="F108" s="1" t="s">
        <v>44</v>
      </c>
      <c r="G108" s="1" t="s">
        <v>148</v>
      </c>
      <c r="H108" s="1" t="s">
        <v>156</v>
      </c>
      <c r="I108" s="13" t="s">
        <v>71</v>
      </c>
      <c r="J108" s="116">
        <f>J109</f>
        <v>137339</v>
      </c>
      <c r="K108" s="116">
        <f t="shared" si="54"/>
        <v>134673</v>
      </c>
      <c r="L108" s="116">
        <f t="shared" si="54"/>
        <v>140100</v>
      </c>
      <c r="M108" s="116">
        <f t="shared" si="54"/>
        <v>0</v>
      </c>
      <c r="N108" s="116">
        <f t="shared" si="54"/>
        <v>0</v>
      </c>
      <c r="O108" s="116">
        <f t="shared" si="54"/>
        <v>0</v>
      </c>
      <c r="P108" s="116">
        <f t="shared" si="42"/>
        <v>137339</v>
      </c>
      <c r="Q108" s="116">
        <f t="shared" si="43"/>
        <v>134673</v>
      </c>
      <c r="R108" s="116">
        <f t="shared" si="44"/>
        <v>140100</v>
      </c>
    </row>
    <row r="109" spans="1:18">
      <c r="A109" s="11" t="s">
        <v>75</v>
      </c>
      <c r="B109" s="66" t="s">
        <v>42</v>
      </c>
      <c r="C109" s="10" t="s">
        <v>27</v>
      </c>
      <c r="D109" s="10" t="s">
        <v>20</v>
      </c>
      <c r="E109" s="10" t="s">
        <v>17</v>
      </c>
      <c r="F109" s="1" t="s">
        <v>44</v>
      </c>
      <c r="G109" s="1" t="s">
        <v>148</v>
      </c>
      <c r="H109" s="1" t="s">
        <v>156</v>
      </c>
      <c r="I109" s="13" t="s">
        <v>74</v>
      </c>
      <c r="J109" s="116">
        <v>137339</v>
      </c>
      <c r="K109" s="116">
        <v>134673</v>
      </c>
      <c r="L109" s="116">
        <v>140100</v>
      </c>
      <c r="M109" s="116"/>
      <c r="N109" s="116"/>
      <c r="O109" s="116"/>
      <c r="P109" s="116">
        <f t="shared" si="42"/>
        <v>137339</v>
      </c>
      <c r="Q109" s="116">
        <f t="shared" si="43"/>
        <v>134673</v>
      </c>
      <c r="R109" s="116">
        <f t="shared" si="44"/>
        <v>140100</v>
      </c>
    </row>
    <row r="110" spans="1:18">
      <c r="A110" s="7"/>
      <c r="B110" s="40"/>
      <c r="C110" s="1"/>
      <c r="D110" s="1"/>
      <c r="E110" s="1"/>
      <c r="F110" s="1"/>
      <c r="G110" s="1"/>
      <c r="H110" s="1"/>
      <c r="I110" s="13"/>
      <c r="J110" s="84"/>
      <c r="K110" s="84"/>
      <c r="L110" s="84"/>
      <c r="M110" s="84"/>
      <c r="N110" s="84"/>
      <c r="O110" s="84"/>
      <c r="P110" s="84"/>
      <c r="Q110" s="84"/>
      <c r="R110" s="84"/>
    </row>
    <row r="111" spans="1:18">
      <c r="A111" s="4" t="s">
        <v>50</v>
      </c>
      <c r="B111" s="14" t="s">
        <v>42</v>
      </c>
      <c r="C111" s="15" t="s">
        <v>27</v>
      </c>
      <c r="D111" s="15" t="s">
        <v>16</v>
      </c>
      <c r="E111" s="15"/>
      <c r="F111" s="15"/>
      <c r="G111" s="15"/>
      <c r="H111" s="15"/>
      <c r="I111" s="27"/>
      <c r="J111" s="112">
        <f>J112</f>
        <v>13599704</v>
      </c>
      <c r="K111" s="112">
        <f t="shared" ref="K111:O111" si="55">K112</f>
        <v>13731991.130000001</v>
      </c>
      <c r="L111" s="112">
        <f t="shared" si="55"/>
        <v>13795601.039999999</v>
      </c>
      <c r="M111" s="112">
        <f t="shared" si="55"/>
        <v>0</v>
      </c>
      <c r="N111" s="112">
        <f t="shared" si="55"/>
        <v>0</v>
      </c>
      <c r="O111" s="112">
        <f t="shared" si="55"/>
        <v>0</v>
      </c>
      <c r="P111" s="112">
        <f t="shared" si="42"/>
        <v>13599704</v>
      </c>
      <c r="Q111" s="112">
        <f t="shared" si="43"/>
        <v>13731991.130000001</v>
      </c>
      <c r="R111" s="112">
        <f t="shared" si="44"/>
        <v>13795601.039999999</v>
      </c>
    </row>
    <row r="112" spans="1:18">
      <c r="A112" s="7" t="s">
        <v>83</v>
      </c>
      <c r="B112" s="1" t="s">
        <v>42</v>
      </c>
      <c r="C112" s="1" t="s">
        <v>27</v>
      </c>
      <c r="D112" s="1" t="s">
        <v>16</v>
      </c>
      <c r="E112" s="1" t="s">
        <v>82</v>
      </c>
      <c r="F112" s="1" t="s">
        <v>70</v>
      </c>
      <c r="G112" s="1" t="s">
        <v>148</v>
      </c>
      <c r="H112" s="1" t="s">
        <v>149</v>
      </c>
      <c r="I112" s="13"/>
      <c r="J112" s="113">
        <f>SUM(J113)</f>
        <v>13599704</v>
      </c>
      <c r="K112" s="113">
        <f t="shared" ref="K112:O112" si="56">SUM(K113)</f>
        <v>13731991.130000001</v>
      </c>
      <c r="L112" s="113">
        <f t="shared" si="56"/>
        <v>13795601.039999999</v>
      </c>
      <c r="M112" s="113">
        <f t="shared" si="56"/>
        <v>0</v>
      </c>
      <c r="N112" s="113">
        <f t="shared" si="56"/>
        <v>0</v>
      </c>
      <c r="O112" s="113">
        <f t="shared" si="56"/>
        <v>0</v>
      </c>
      <c r="P112" s="113">
        <f t="shared" si="42"/>
        <v>13599704</v>
      </c>
      <c r="Q112" s="113">
        <f t="shared" si="43"/>
        <v>13731991.130000001</v>
      </c>
      <c r="R112" s="113">
        <f t="shared" si="44"/>
        <v>13795601.039999999</v>
      </c>
    </row>
    <row r="113" spans="1:18" ht="25.5">
      <c r="A113" s="2" t="s">
        <v>87</v>
      </c>
      <c r="B113" s="1" t="s">
        <v>42</v>
      </c>
      <c r="C113" s="1" t="s">
        <v>27</v>
      </c>
      <c r="D113" s="1" t="s">
        <v>16</v>
      </c>
      <c r="E113" s="1" t="s">
        <v>82</v>
      </c>
      <c r="F113" s="1" t="s">
        <v>70</v>
      </c>
      <c r="G113" s="1" t="s">
        <v>148</v>
      </c>
      <c r="H113" s="1" t="s">
        <v>158</v>
      </c>
      <c r="I113" s="13"/>
      <c r="J113" s="84">
        <f>J114+J116+J118</f>
        <v>13599704</v>
      </c>
      <c r="K113" s="84">
        <f t="shared" ref="K113:L113" si="57">K114+K116+K118</f>
        <v>13731991.130000001</v>
      </c>
      <c r="L113" s="84">
        <f t="shared" si="57"/>
        <v>13795601.039999999</v>
      </c>
      <c r="M113" s="84">
        <f t="shared" ref="M113:O113" si="58">M114+M116+M118</f>
        <v>0</v>
      </c>
      <c r="N113" s="84">
        <f t="shared" si="58"/>
        <v>0</v>
      </c>
      <c r="O113" s="84">
        <f t="shared" si="58"/>
        <v>0</v>
      </c>
      <c r="P113" s="84">
        <f t="shared" si="42"/>
        <v>13599704</v>
      </c>
      <c r="Q113" s="84">
        <f t="shared" si="43"/>
        <v>13731991.130000001</v>
      </c>
      <c r="R113" s="84">
        <f t="shared" si="44"/>
        <v>13795601.039999999</v>
      </c>
    </row>
    <row r="114" spans="1:18" ht="38.25">
      <c r="A114" s="78" t="s">
        <v>96</v>
      </c>
      <c r="B114" s="1" t="s">
        <v>42</v>
      </c>
      <c r="C114" s="1" t="s">
        <v>27</v>
      </c>
      <c r="D114" s="1" t="s">
        <v>16</v>
      </c>
      <c r="E114" s="1" t="s">
        <v>82</v>
      </c>
      <c r="F114" s="1" t="s">
        <v>70</v>
      </c>
      <c r="G114" s="1" t="s">
        <v>148</v>
      </c>
      <c r="H114" s="1" t="s">
        <v>158</v>
      </c>
      <c r="I114" s="13" t="s">
        <v>92</v>
      </c>
      <c r="J114" s="84">
        <f>J115</f>
        <v>13422704</v>
      </c>
      <c r="K114" s="84">
        <f t="shared" ref="K114:O114" si="59">K115</f>
        <v>13554991.130000001</v>
      </c>
      <c r="L114" s="84">
        <f t="shared" si="59"/>
        <v>13618601.039999999</v>
      </c>
      <c r="M114" s="84">
        <f t="shared" si="59"/>
        <v>0</v>
      </c>
      <c r="N114" s="84">
        <f t="shared" si="59"/>
        <v>0</v>
      </c>
      <c r="O114" s="84">
        <f t="shared" si="59"/>
        <v>0</v>
      </c>
      <c r="P114" s="84">
        <f t="shared" si="42"/>
        <v>13422704</v>
      </c>
      <c r="Q114" s="84">
        <f t="shared" si="43"/>
        <v>13554991.130000001</v>
      </c>
      <c r="R114" s="84">
        <f t="shared" si="44"/>
        <v>13618601.039999999</v>
      </c>
    </row>
    <row r="115" spans="1:18">
      <c r="A115" s="78" t="s">
        <v>103</v>
      </c>
      <c r="B115" s="1" t="s">
        <v>42</v>
      </c>
      <c r="C115" s="1" t="s">
        <v>27</v>
      </c>
      <c r="D115" s="1" t="s">
        <v>16</v>
      </c>
      <c r="E115" s="1" t="s">
        <v>82</v>
      </c>
      <c r="F115" s="1" t="s">
        <v>70</v>
      </c>
      <c r="G115" s="1" t="s">
        <v>148</v>
      </c>
      <c r="H115" s="1" t="s">
        <v>158</v>
      </c>
      <c r="I115" s="13" t="s">
        <v>102</v>
      </c>
      <c r="J115" s="84">
        <v>13422704</v>
      </c>
      <c r="K115" s="84">
        <v>13554991.130000001</v>
      </c>
      <c r="L115" s="84">
        <v>13618601.039999999</v>
      </c>
      <c r="M115" s="84"/>
      <c r="N115" s="84"/>
      <c r="O115" s="84"/>
      <c r="P115" s="84">
        <f t="shared" si="42"/>
        <v>13422704</v>
      </c>
      <c r="Q115" s="84">
        <f t="shared" si="43"/>
        <v>13554991.130000001</v>
      </c>
      <c r="R115" s="84">
        <f t="shared" si="44"/>
        <v>13618601.039999999</v>
      </c>
    </row>
    <row r="116" spans="1:18" ht="25.5">
      <c r="A116" s="80" t="s">
        <v>260</v>
      </c>
      <c r="B116" s="1" t="s">
        <v>42</v>
      </c>
      <c r="C116" s="1" t="s">
        <v>27</v>
      </c>
      <c r="D116" s="1" t="s">
        <v>16</v>
      </c>
      <c r="E116" s="1" t="s">
        <v>82</v>
      </c>
      <c r="F116" s="1" t="s">
        <v>70</v>
      </c>
      <c r="G116" s="1" t="s">
        <v>148</v>
      </c>
      <c r="H116" s="1" t="s">
        <v>158</v>
      </c>
      <c r="I116" s="13" t="s">
        <v>94</v>
      </c>
      <c r="J116" s="84">
        <f>J117</f>
        <v>172000</v>
      </c>
      <c r="K116" s="84">
        <f t="shared" ref="K116:O116" si="60">K117</f>
        <v>172000</v>
      </c>
      <c r="L116" s="84">
        <f t="shared" si="60"/>
        <v>172000</v>
      </c>
      <c r="M116" s="84">
        <f t="shared" si="60"/>
        <v>0</v>
      </c>
      <c r="N116" s="84">
        <f t="shared" si="60"/>
        <v>0</v>
      </c>
      <c r="O116" s="84">
        <f t="shared" si="60"/>
        <v>0</v>
      </c>
      <c r="P116" s="84">
        <f t="shared" si="42"/>
        <v>172000</v>
      </c>
      <c r="Q116" s="84">
        <f t="shared" si="43"/>
        <v>172000</v>
      </c>
      <c r="R116" s="84">
        <f t="shared" si="44"/>
        <v>172000</v>
      </c>
    </row>
    <row r="117" spans="1:18" ht="25.5">
      <c r="A117" s="78" t="s">
        <v>98</v>
      </c>
      <c r="B117" s="1" t="s">
        <v>42</v>
      </c>
      <c r="C117" s="1" t="s">
        <v>27</v>
      </c>
      <c r="D117" s="1" t="s">
        <v>16</v>
      </c>
      <c r="E117" s="1" t="s">
        <v>82</v>
      </c>
      <c r="F117" s="1" t="s">
        <v>70</v>
      </c>
      <c r="G117" s="1" t="s">
        <v>148</v>
      </c>
      <c r="H117" s="1" t="s">
        <v>158</v>
      </c>
      <c r="I117" s="13" t="s">
        <v>95</v>
      </c>
      <c r="J117" s="84">
        <v>172000</v>
      </c>
      <c r="K117" s="84">
        <v>172000</v>
      </c>
      <c r="L117" s="84">
        <v>172000</v>
      </c>
      <c r="M117" s="84"/>
      <c r="N117" s="84"/>
      <c r="O117" s="84"/>
      <c r="P117" s="84">
        <f t="shared" si="42"/>
        <v>172000</v>
      </c>
      <c r="Q117" s="84">
        <f t="shared" si="43"/>
        <v>172000</v>
      </c>
      <c r="R117" s="84">
        <f t="shared" si="44"/>
        <v>172000</v>
      </c>
    </row>
    <row r="118" spans="1:18">
      <c r="A118" s="78" t="s">
        <v>80</v>
      </c>
      <c r="B118" s="1" t="s">
        <v>42</v>
      </c>
      <c r="C118" s="1" t="s">
        <v>27</v>
      </c>
      <c r="D118" s="1" t="s">
        <v>16</v>
      </c>
      <c r="E118" s="1" t="s">
        <v>82</v>
      </c>
      <c r="F118" s="1" t="s">
        <v>70</v>
      </c>
      <c r="G118" s="1" t="s">
        <v>148</v>
      </c>
      <c r="H118" s="1" t="s">
        <v>158</v>
      </c>
      <c r="I118" s="13" t="s">
        <v>77</v>
      </c>
      <c r="J118" s="84">
        <f>J119</f>
        <v>5000</v>
      </c>
      <c r="K118" s="84">
        <f t="shared" ref="K118:O118" si="61">K119</f>
        <v>5000</v>
      </c>
      <c r="L118" s="84">
        <f t="shared" si="61"/>
        <v>5000</v>
      </c>
      <c r="M118" s="84">
        <f t="shared" si="61"/>
        <v>0</v>
      </c>
      <c r="N118" s="84">
        <f t="shared" si="61"/>
        <v>0</v>
      </c>
      <c r="O118" s="84">
        <f t="shared" si="61"/>
        <v>0</v>
      </c>
      <c r="P118" s="84">
        <f t="shared" si="42"/>
        <v>5000</v>
      </c>
      <c r="Q118" s="84">
        <f t="shared" si="43"/>
        <v>5000</v>
      </c>
      <c r="R118" s="84">
        <f t="shared" si="44"/>
        <v>5000</v>
      </c>
    </row>
    <row r="119" spans="1:18">
      <c r="A119" s="83" t="s">
        <v>125</v>
      </c>
      <c r="B119" s="1" t="s">
        <v>42</v>
      </c>
      <c r="C119" s="1" t="s">
        <v>27</v>
      </c>
      <c r="D119" s="1" t="s">
        <v>16</v>
      </c>
      <c r="E119" s="1" t="s">
        <v>82</v>
      </c>
      <c r="F119" s="1" t="s">
        <v>70</v>
      </c>
      <c r="G119" s="1" t="s">
        <v>148</v>
      </c>
      <c r="H119" s="1" t="s">
        <v>158</v>
      </c>
      <c r="I119" s="13" t="s">
        <v>124</v>
      </c>
      <c r="J119" s="84">
        <v>5000</v>
      </c>
      <c r="K119" s="84">
        <v>5000</v>
      </c>
      <c r="L119" s="84">
        <v>5000</v>
      </c>
      <c r="M119" s="84"/>
      <c r="N119" s="84"/>
      <c r="O119" s="84"/>
      <c r="P119" s="84">
        <f t="shared" si="42"/>
        <v>5000</v>
      </c>
      <c r="Q119" s="84">
        <f t="shared" si="43"/>
        <v>5000</v>
      </c>
      <c r="R119" s="84">
        <f t="shared" si="44"/>
        <v>5000</v>
      </c>
    </row>
    <row r="120" spans="1:18">
      <c r="A120" s="11"/>
      <c r="B120" s="49"/>
      <c r="C120" s="1"/>
      <c r="D120" s="1"/>
      <c r="E120" s="1"/>
      <c r="F120" s="1"/>
      <c r="G120" s="1"/>
      <c r="H120" s="1"/>
      <c r="I120" s="13"/>
      <c r="J120" s="84"/>
      <c r="K120" s="84"/>
      <c r="L120" s="84"/>
      <c r="M120" s="84"/>
      <c r="N120" s="84"/>
      <c r="O120" s="84"/>
      <c r="P120" s="84"/>
      <c r="Q120" s="84"/>
      <c r="R120" s="84"/>
    </row>
    <row r="121" spans="1:18" s="165" customFormat="1" ht="15.75">
      <c r="A121" s="25" t="s">
        <v>5</v>
      </c>
      <c r="B121" s="162" t="s">
        <v>42</v>
      </c>
      <c r="C121" s="28" t="s">
        <v>30</v>
      </c>
      <c r="D121" s="28"/>
      <c r="E121" s="28"/>
      <c r="F121" s="28"/>
      <c r="G121" s="28"/>
      <c r="H121" s="28"/>
      <c r="I121" s="163"/>
      <c r="J121" s="164">
        <f>J122</f>
        <v>250000</v>
      </c>
      <c r="K121" s="164">
        <f t="shared" ref="K121:O125" si="62">K122</f>
        <v>250000</v>
      </c>
      <c r="L121" s="164">
        <f t="shared" si="62"/>
        <v>250000</v>
      </c>
      <c r="M121" s="164">
        <f t="shared" si="62"/>
        <v>0</v>
      </c>
      <c r="N121" s="164">
        <f t="shared" si="62"/>
        <v>0</v>
      </c>
      <c r="O121" s="164">
        <f t="shared" si="62"/>
        <v>0</v>
      </c>
      <c r="P121" s="164">
        <f t="shared" si="42"/>
        <v>250000</v>
      </c>
      <c r="Q121" s="164">
        <f t="shared" si="43"/>
        <v>250000</v>
      </c>
      <c r="R121" s="164">
        <f t="shared" si="44"/>
        <v>250000</v>
      </c>
    </row>
    <row r="122" spans="1:18" s="172" customFormat="1">
      <c r="A122" s="4" t="s">
        <v>21</v>
      </c>
      <c r="B122" s="169" t="s">
        <v>42</v>
      </c>
      <c r="C122" s="58" t="s">
        <v>30</v>
      </c>
      <c r="D122" s="58" t="s">
        <v>16</v>
      </c>
      <c r="E122" s="58"/>
      <c r="F122" s="58"/>
      <c r="G122" s="58"/>
      <c r="H122" s="58"/>
      <c r="I122" s="170"/>
      <c r="J122" s="171">
        <f>J123</f>
        <v>250000</v>
      </c>
      <c r="K122" s="171">
        <f t="shared" si="62"/>
        <v>250000</v>
      </c>
      <c r="L122" s="171">
        <f t="shared" si="62"/>
        <v>250000</v>
      </c>
      <c r="M122" s="171">
        <f t="shared" si="62"/>
        <v>0</v>
      </c>
      <c r="N122" s="171">
        <f t="shared" si="62"/>
        <v>0</v>
      </c>
      <c r="O122" s="171">
        <f t="shared" si="62"/>
        <v>0</v>
      </c>
      <c r="P122" s="171">
        <f t="shared" si="42"/>
        <v>250000</v>
      </c>
      <c r="Q122" s="171">
        <f t="shared" si="43"/>
        <v>250000</v>
      </c>
      <c r="R122" s="171">
        <f t="shared" si="44"/>
        <v>250000</v>
      </c>
    </row>
    <row r="123" spans="1:18" s="168" customFormat="1" ht="38.25">
      <c r="A123" s="2" t="s">
        <v>321</v>
      </c>
      <c r="B123" s="166" t="s">
        <v>42</v>
      </c>
      <c r="C123" s="3" t="s">
        <v>30</v>
      </c>
      <c r="D123" s="3" t="s">
        <v>16</v>
      </c>
      <c r="E123" s="3" t="s">
        <v>319</v>
      </c>
      <c r="F123" s="3" t="s">
        <v>70</v>
      </c>
      <c r="G123" s="3" t="s">
        <v>148</v>
      </c>
      <c r="H123" s="3" t="s">
        <v>149</v>
      </c>
      <c r="I123" s="16"/>
      <c r="J123" s="167">
        <f>J124</f>
        <v>250000</v>
      </c>
      <c r="K123" s="167">
        <f t="shared" si="62"/>
        <v>250000</v>
      </c>
      <c r="L123" s="167">
        <f t="shared" si="62"/>
        <v>250000</v>
      </c>
      <c r="M123" s="167">
        <f t="shared" si="62"/>
        <v>0</v>
      </c>
      <c r="N123" s="167">
        <f t="shared" si="62"/>
        <v>0</v>
      </c>
      <c r="O123" s="167">
        <f t="shared" si="62"/>
        <v>0</v>
      </c>
      <c r="P123" s="167">
        <f t="shared" si="42"/>
        <v>250000</v>
      </c>
      <c r="Q123" s="167">
        <f t="shared" si="43"/>
        <v>250000</v>
      </c>
      <c r="R123" s="167">
        <f t="shared" si="44"/>
        <v>250000</v>
      </c>
    </row>
    <row r="124" spans="1:18" s="168" customFormat="1">
      <c r="A124" s="2" t="s">
        <v>322</v>
      </c>
      <c r="B124" s="166" t="s">
        <v>42</v>
      </c>
      <c r="C124" s="3" t="s">
        <v>30</v>
      </c>
      <c r="D124" s="3" t="s">
        <v>16</v>
      </c>
      <c r="E124" s="3" t="s">
        <v>319</v>
      </c>
      <c r="F124" s="3" t="s">
        <v>70</v>
      </c>
      <c r="G124" s="3" t="s">
        <v>148</v>
      </c>
      <c r="H124" s="3" t="s">
        <v>320</v>
      </c>
      <c r="I124" s="16"/>
      <c r="J124" s="167">
        <f>J125</f>
        <v>250000</v>
      </c>
      <c r="K124" s="167">
        <f t="shared" si="62"/>
        <v>250000</v>
      </c>
      <c r="L124" s="167">
        <f t="shared" si="62"/>
        <v>250000</v>
      </c>
      <c r="M124" s="167">
        <f t="shared" si="62"/>
        <v>0</v>
      </c>
      <c r="N124" s="167">
        <f t="shared" si="62"/>
        <v>0</v>
      </c>
      <c r="O124" s="167">
        <f t="shared" si="62"/>
        <v>0</v>
      </c>
      <c r="P124" s="167">
        <f t="shared" si="42"/>
        <v>250000</v>
      </c>
      <c r="Q124" s="167">
        <f t="shared" si="43"/>
        <v>250000</v>
      </c>
      <c r="R124" s="167">
        <f t="shared" si="44"/>
        <v>250000</v>
      </c>
    </row>
    <row r="125" spans="1:18" s="168" customFormat="1">
      <c r="A125" s="2" t="s">
        <v>100</v>
      </c>
      <c r="B125" s="166" t="s">
        <v>42</v>
      </c>
      <c r="C125" s="3" t="s">
        <v>30</v>
      </c>
      <c r="D125" s="3" t="s">
        <v>16</v>
      </c>
      <c r="E125" s="3" t="s">
        <v>319</v>
      </c>
      <c r="F125" s="3" t="s">
        <v>70</v>
      </c>
      <c r="G125" s="3" t="s">
        <v>148</v>
      </c>
      <c r="H125" s="3" t="s">
        <v>320</v>
      </c>
      <c r="I125" s="16" t="s">
        <v>99</v>
      </c>
      <c r="J125" s="167">
        <f>J126</f>
        <v>250000</v>
      </c>
      <c r="K125" s="167">
        <f t="shared" si="62"/>
        <v>250000</v>
      </c>
      <c r="L125" s="167">
        <f t="shared" si="62"/>
        <v>250000</v>
      </c>
      <c r="M125" s="167">
        <f t="shared" si="62"/>
        <v>0</v>
      </c>
      <c r="N125" s="167">
        <f t="shared" si="62"/>
        <v>0</v>
      </c>
      <c r="O125" s="167">
        <f t="shared" si="62"/>
        <v>0</v>
      </c>
      <c r="P125" s="167">
        <f t="shared" si="42"/>
        <v>250000</v>
      </c>
      <c r="Q125" s="167">
        <f t="shared" si="43"/>
        <v>250000</v>
      </c>
      <c r="R125" s="167">
        <f t="shared" si="44"/>
        <v>250000</v>
      </c>
    </row>
    <row r="126" spans="1:18" s="168" customFormat="1" ht="25.5">
      <c r="A126" s="2" t="s">
        <v>106</v>
      </c>
      <c r="B126" s="166" t="s">
        <v>42</v>
      </c>
      <c r="C126" s="3" t="s">
        <v>30</v>
      </c>
      <c r="D126" s="3" t="s">
        <v>16</v>
      </c>
      <c r="E126" s="3" t="s">
        <v>319</v>
      </c>
      <c r="F126" s="3" t="s">
        <v>70</v>
      </c>
      <c r="G126" s="3" t="s">
        <v>148</v>
      </c>
      <c r="H126" s="3" t="s">
        <v>320</v>
      </c>
      <c r="I126" s="16" t="s">
        <v>107</v>
      </c>
      <c r="J126" s="167">
        <v>250000</v>
      </c>
      <c r="K126" s="167">
        <v>250000</v>
      </c>
      <c r="L126" s="167">
        <v>250000</v>
      </c>
      <c r="M126" s="167"/>
      <c r="N126" s="167"/>
      <c r="O126" s="167"/>
      <c r="P126" s="167">
        <f t="shared" si="42"/>
        <v>250000</v>
      </c>
      <c r="Q126" s="167">
        <f t="shared" si="43"/>
        <v>250000</v>
      </c>
      <c r="R126" s="167">
        <f t="shared" si="44"/>
        <v>250000</v>
      </c>
    </row>
    <row r="127" spans="1:18">
      <c r="A127" s="11"/>
      <c r="B127" s="49"/>
      <c r="C127" s="1"/>
      <c r="D127" s="1"/>
      <c r="E127" s="1"/>
      <c r="F127" s="1"/>
      <c r="G127" s="1"/>
      <c r="H127" s="1"/>
      <c r="I127" s="13"/>
      <c r="J127" s="84"/>
      <c r="K127" s="84"/>
      <c r="L127" s="84"/>
      <c r="M127" s="84"/>
      <c r="N127" s="84"/>
      <c r="O127" s="84"/>
      <c r="P127" s="84"/>
      <c r="Q127" s="84"/>
      <c r="R127" s="84"/>
    </row>
    <row r="128" spans="1:18" ht="15.75">
      <c r="A128" s="34" t="s">
        <v>4</v>
      </c>
      <c r="B128" s="30" t="s">
        <v>42</v>
      </c>
      <c r="C128" s="30" t="s">
        <v>19</v>
      </c>
      <c r="D128" s="1"/>
      <c r="E128" s="1"/>
      <c r="F128" s="1"/>
      <c r="G128" s="1"/>
      <c r="H128" s="1"/>
      <c r="I128" s="13"/>
      <c r="J128" s="111">
        <f>J129</f>
        <v>760000</v>
      </c>
      <c r="K128" s="111">
        <f t="shared" ref="K128:O129" si="63">K129</f>
        <v>760000</v>
      </c>
      <c r="L128" s="111">
        <f t="shared" si="63"/>
        <v>760000</v>
      </c>
      <c r="M128" s="111">
        <f t="shared" si="63"/>
        <v>0</v>
      </c>
      <c r="N128" s="111">
        <f t="shared" si="63"/>
        <v>0</v>
      </c>
      <c r="O128" s="111">
        <f t="shared" si="63"/>
        <v>0</v>
      </c>
      <c r="P128" s="111">
        <f t="shared" si="42"/>
        <v>760000</v>
      </c>
      <c r="Q128" s="111">
        <f t="shared" si="43"/>
        <v>760000</v>
      </c>
      <c r="R128" s="111">
        <f t="shared" si="44"/>
        <v>760000</v>
      </c>
    </row>
    <row r="129" spans="1:18">
      <c r="A129" s="24" t="s">
        <v>51</v>
      </c>
      <c r="B129" s="14" t="s">
        <v>42</v>
      </c>
      <c r="C129" s="14" t="s">
        <v>19</v>
      </c>
      <c r="D129" s="14" t="s">
        <v>20</v>
      </c>
      <c r="E129" s="14"/>
      <c r="F129" s="14"/>
      <c r="G129" s="14"/>
      <c r="H129" s="14"/>
      <c r="I129" s="29"/>
      <c r="J129" s="112">
        <f>J130</f>
        <v>760000</v>
      </c>
      <c r="K129" s="112">
        <f t="shared" si="63"/>
        <v>760000</v>
      </c>
      <c r="L129" s="112">
        <f t="shared" si="63"/>
        <v>760000</v>
      </c>
      <c r="M129" s="112">
        <f t="shared" si="63"/>
        <v>0</v>
      </c>
      <c r="N129" s="112">
        <f t="shared" si="63"/>
        <v>0</v>
      </c>
      <c r="O129" s="112">
        <f t="shared" si="63"/>
        <v>0</v>
      </c>
      <c r="P129" s="112">
        <f t="shared" si="42"/>
        <v>760000</v>
      </c>
      <c r="Q129" s="112">
        <f t="shared" si="43"/>
        <v>760000</v>
      </c>
      <c r="R129" s="112">
        <f t="shared" si="44"/>
        <v>760000</v>
      </c>
    </row>
    <row r="130" spans="1:18" ht="38.25">
      <c r="A130" s="2" t="s">
        <v>284</v>
      </c>
      <c r="B130" s="1" t="s">
        <v>42</v>
      </c>
      <c r="C130" s="1" t="s">
        <v>19</v>
      </c>
      <c r="D130" s="1" t="s">
        <v>20</v>
      </c>
      <c r="E130" s="1" t="s">
        <v>2</v>
      </c>
      <c r="F130" s="1" t="s">
        <v>70</v>
      </c>
      <c r="G130" s="1" t="s">
        <v>148</v>
      </c>
      <c r="H130" s="1" t="s">
        <v>149</v>
      </c>
      <c r="I130" s="13"/>
      <c r="J130" s="84">
        <f>J131+J136</f>
        <v>760000</v>
      </c>
      <c r="K130" s="84">
        <f t="shared" ref="K130:L130" si="64">K131+K136</f>
        <v>760000</v>
      </c>
      <c r="L130" s="84">
        <f t="shared" si="64"/>
        <v>760000</v>
      </c>
      <c r="M130" s="84">
        <f t="shared" ref="M130:O130" si="65">M131+M136</f>
        <v>0</v>
      </c>
      <c r="N130" s="84">
        <f t="shared" si="65"/>
        <v>0</v>
      </c>
      <c r="O130" s="84">
        <f t="shared" si="65"/>
        <v>0</v>
      </c>
      <c r="P130" s="84">
        <f t="shared" si="42"/>
        <v>760000</v>
      </c>
      <c r="Q130" s="84">
        <f t="shared" si="43"/>
        <v>760000</v>
      </c>
      <c r="R130" s="84">
        <f t="shared" si="44"/>
        <v>760000</v>
      </c>
    </row>
    <row r="131" spans="1:18">
      <c r="A131" s="2" t="s">
        <v>382</v>
      </c>
      <c r="B131" s="1" t="s">
        <v>42</v>
      </c>
      <c r="C131" s="1" t="s">
        <v>19</v>
      </c>
      <c r="D131" s="1" t="s">
        <v>20</v>
      </c>
      <c r="E131" s="1" t="s">
        <v>2</v>
      </c>
      <c r="F131" s="1" t="s">
        <v>70</v>
      </c>
      <c r="G131" s="1" t="s">
        <v>148</v>
      </c>
      <c r="H131" s="1" t="s">
        <v>159</v>
      </c>
      <c r="I131" s="13"/>
      <c r="J131" s="84">
        <f>J132+J134</f>
        <v>590000</v>
      </c>
      <c r="K131" s="84">
        <f t="shared" ref="K131:L131" si="66">K132+K134</f>
        <v>590000</v>
      </c>
      <c r="L131" s="84">
        <f t="shared" si="66"/>
        <v>590000</v>
      </c>
      <c r="M131" s="84">
        <f t="shared" ref="M131:O131" si="67">M132+M134</f>
        <v>0</v>
      </c>
      <c r="N131" s="84">
        <f t="shared" si="67"/>
        <v>0</v>
      </c>
      <c r="O131" s="84">
        <f t="shared" si="67"/>
        <v>0</v>
      </c>
      <c r="P131" s="84">
        <f t="shared" si="42"/>
        <v>590000</v>
      </c>
      <c r="Q131" s="84">
        <f t="shared" si="43"/>
        <v>590000</v>
      </c>
      <c r="R131" s="84">
        <f t="shared" si="44"/>
        <v>590000</v>
      </c>
    </row>
    <row r="132" spans="1:18" ht="25.5">
      <c r="A132" s="80" t="s">
        <v>260</v>
      </c>
      <c r="B132" s="1" t="s">
        <v>42</v>
      </c>
      <c r="C132" s="1" t="s">
        <v>19</v>
      </c>
      <c r="D132" s="1" t="s">
        <v>20</v>
      </c>
      <c r="E132" s="1" t="s">
        <v>2</v>
      </c>
      <c r="F132" s="1" t="s">
        <v>70</v>
      </c>
      <c r="G132" s="1" t="s">
        <v>148</v>
      </c>
      <c r="H132" s="1" t="s">
        <v>159</v>
      </c>
      <c r="I132" s="13" t="s">
        <v>94</v>
      </c>
      <c r="J132" s="84">
        <f>J133</f>
        <v>560000</v>
      </c>
      <c r="K132" s="84">
        <f t="shared" ref="K132:O132" si="68">K133</f>
        <v>560000</v>
      </c>
      <c r="L132" s="84">
        <f t="shared" si="68"/>
        <v>560000</v>
      </c>
      <c r="M132" s="84">
        <f t="shared" si="68"/>
        <v>0</v>
      </c>
      <c r="N132" s="84">
        <f t="shared" si="68"/>
        <v>0</v>
      </c>
      <c r="O132" s="84">
        <f t="shared" si="68"/>
        <v>0</v>
      </c>
      <c r="P132" s="84">
        <f t="shared" si="42"/>
        <v>560000</v>
      </c>
      <c r="Q132" s="84">
        <f t="shared" si="43"/>
        <v>560000</v>
      </c>
      <c r="R132" s="84">
        <f t="shared" si="44"/>
        <v>560000</v>
      </c>
    </row>
    <row r="133" spans="1:18" ht="25.5">
      <c r="A133" s="78" t="s">
        <v>98</v>
      </c>
      <c r="B133" s="1" t="s">
        <v>42</v>
      </c>
      <c r="C133" s="1" t="s">
        <v>19</v>
      </c>
      <c r="D133" s="1" t="s">
        <v>20</v>
      </c>
      <c r="E133" s="1" t="s">
        <v>2</v>
      </c>
      <c r="F133" s="1" t="s">
        <v>70</v>
      </c>
      <c r="G133" s="1" t="s">
        <v>148</v>
      </c>
      <c r="H133" s="1" t="s">
        <v>159</v>
      </c>
      <c r="I133" s="13" t="s">
        <v>95</v>
      </c>
      <c r="J133" s="84">
        <v>560000</v>
      </c>
      <c r="K133" s="84">
        <v>560000</v>
      </c>
      <c r="L133" s="84">
        <v>560000</v>
      </c>
      <c r="M133" s="84"/>
      <c r="N133" s="84"/>
      <c r="O133" s="84"/>
      <c r="P133" s="84">
        <f t="shared" si="42"/>
        <v>560000</v>
      </c>
      <c r="Q133" s="84">
        <f t="shared" si="43"/>
        <v>560000</v>
      </c>
      <c r="R133" s="84">
        <f t="shared" si="44"/>
        <v>560000</v>
      </c>
    </row>
    <row r="134" spans="1:18">
      <c r="A134" s="9" t="s">
        <v>100</v>
      </c>
      <c r="B134" s="1" t="s">
        <v>42</v>
      </c>
      <c r="C134" s="1" t="s">
        <v>19</v>
      </c>
      <c r="D134" s="1" t="s">
        <v>20</v>
      </c>
      <c r="E134" s="1" t="s">
        <v>2</v>
      </c>
      <c r="F134" s="1" t="s">
        <v>70</v>
      </c>
      <c r="G134" s="1" t="s">
        <v>148</v>
      </c>
      <c r="H134" s="1" t="s">
        <v>159</v>
      </c>
      <c r="I134" s="13" t="s">
        <v>99</v>
      </c>
      <c r="J134" s="84">
        <f>J135</f>
        <v>30000</v>
      </c>
      <c r="K134" s="84">
        <f t="shared" ref="K134:O134" si="69">K135</f>
        <v>30000</v>
      </c>
      <c r="L134" s="84">
        <f t="shared" si="69"/>
        <v>30000</v>
      </c>
      <c r="M134" s="84">
        <f t="shared" si="69"/>
        <v>0</v>
      </c>
      <c r="N134" s="84">
        <f t="shared" si="69"/>
        <v>0</v>
      </c>
      <c r="O134" s="84">
        <f t="shared" si="69"/>
        <v>0</v>
      </c>
      <c r="P134" s="84">
        <f t="shared" si="42"/>
        <v>30000</v>
      </c>
      <c r="Q134" s="84">
        <f t="shared" si="43"/>
        <v>30000</v>
      </c>
      <c r="R134" s="84">
        <f t="shared" si="44"/>
        <v>30000</v>
      </c>
    </row>
    <row r="135" spans="1:18" ht="14.25" customHeight="1">
      <c r="A135" s="59" t="s">
        <v>223</v>
      </c>
      <c r="B135" s="1" t="s">
        <v>42</v>
      </c>
      <c r="C135" s="1" t="s">
        <v>19</v>
      </c>
      <c r="D135" s="1" t="s">
        <v>20</v>
      </c>
      <c r="E135" s="1" t="s">
        <v>2</v>
      </c>
      <c r="F135" s="1" t="s">
        <v>70</v>
      </c>
      <c r="G135" s="1" t="s">
        <v>148</v>
      </c>
      <c r="H135" s="1" t="s">
        <v>159</v>
      </c>
      <c r="I135" s="13" t="s">
        <v>222</v>
      </c>
      <c r="J135" s="84">
        <v>30000</v>
      </c>
      <c r="K135" s="84">
        <v>30000</v>
      </c>
      <c r="L135" s="84">
        <v>30000</v>
      </c>
      <c r="M135" s="84"/>
      <c r="N135" s="84"/>
      <c r="O135" s="84"/>
      <c r="P135" s="84">
        <f t="shared" si="42"/>
        <v>30000</v>
      </c>
      <c r="Q135" s="84">
        <f t="shared" si="43"/>
        <v>30000</v>
      </c>
      <c r="R135" s="84">
        <f t="shared" si="44"/>
        <v>30000</v>
      </c>
    </row>
    <row r="136" spans="1:18">
      <c r="A136" s="2" t="s">
        <v>137</v>
      </c>
      <c r="B136" s="1" t="s">
        <v>42</v>
      </c>
      <c r="C136" s="1" t="s">
        <v>19</v>
      </c>
      <c r="D136" s="1" t="s">
        <v>20</v>
      </c>
      <c r="E136" s="1" t="s">
        <v>2</v>
      </c>
      <c r="F136" s="1" t="s">
        <v>70</v>
      </c>
      <c r="G136" s="1" t="s">
        <v>148</v>
      </c>
      <c r="H136" s="1" t="s">
        <v>160</v>
      </c>
      <c r="I136" s="13"/>
      <c r="J136" s="84">
        <f>J137+J139</f>
        <v>170000</v>
      </c>
      <c r="K136" s="84">
        <f t="shared" ref="K136:L136" si="70">K137+K139</f>
        <v>170000</v>
      </c>
      <c r="L136" s="84">
        <f t="shared" si="70"/>
        <v>170000</v>
      </c>
      <c r="M136" s="84">
        <f t="shared" ref="M136:O136" si="71">M137+M139</f>
        <v>0</v>
      </c>
      <c r="N136" s="84">
        <f t="shared" si="71"/>
        <v>0</v>
      </c>
      <c r="O136" s="84">
        <f t="shared" si="71"/>
        <v>0</v>
      </c>
      <c r="P136" s="84">
        <f t="shared" si="42"/>
        <v>170000</v>
      </c>
      <c r="Q136" s="84">
        <f t="shared" si="43"/>
        <v>170000</v>
      </c>
      <c r="R136" s="84">
        <f t="shared" si="44"/>
        <v>170000</v>
      </c>
    </row>
    <row r="137" spans="1:18" ht="25.5">
      <c r="A137" s="80" t="s">
        <v>260</v>
      </c>
      <c r="B137" s="1" t="s">
        <v>42</v>
      </c>
      <c r="C137" s="1" t="s">
        <v>19</v>
      </c>
      <c r="D137" s="1" t="s">
        <v>20</v>
      </c>
      <c r="E137" s="1" t="s">
        <v>2</v>
      </c>
      <c r="F137" s="1" t="s">
        <v>70</v>
      </c>
      <c r="G137" s="1" t="s">
        <v>148</v>
      </c>
      <c r="H137" s="1" t="s">
        <v>160</v>
      </c>
      <c r="I137" s="13" t="s">
        <v>94</v>
      </c>
      <c r="J137" s="84">
        <f>J138</f>
        <v>120000</v>
      </c>
      <c r="K137" s="84">
        <f t="shared" ref="K137:O137" si="72">K138</f>
        <v>120000</v>
      </c>
      <c r="L137" s="84">
        <f t="shared" si="72"/>
        <v>120000</v>
      </c>
      <c r="M137" s="84">
        <f t="shared" si="72"/>
        <v>0</v>
      </c>
      <c r="N137" s="84">
        <f t="shared" si="72"/>
        <v>0</v>
      </c>
      <c r="O137" s="84">
        <f t="shared" si="72"/>
        <v>0</v>
      </c>
      <c r="P137" s="84">
        <f t="shared" si="42"/>
        <v>120000</v>
      </c>
      <c r="Q137" s="84">
        <f t="shared" si="43"/>
        <v>120000</v>
      </c>
      <c r="R137" s="84">
        <f t="shared" si="44"/>
        <v>120000</v>
      </c>
    </row>
    <row r="138" spans="1:18" ht="25.5">
      <c r="A138" s="78" t="s">
        <v>98</v>
      </c>
      <c r="B138" s="1" t="s">
        <v>42</v>
      </c>
      <c r="C138" s="1" t="s">
        <v>19</v>
      </c>
      <c r="D138" s="1" t="s">
        <v>20</v>
      </c>
      <c r="E138" s="1" t="s">
        <v>2</v>
      </c>
      <c r="F138" s="1" t="s">
        <v>70</v>
      </c>
      <c r="G138" s="1" t="s">
        <v>148</v>
      </c>
      <c r="H138" s="1" t="s">
        <v>160</v>
      </c>
      <c r="I138" s="13" t="s">
        <v>95</v>
      </c>
      <c r="J138" s="84">
        <v>120000</v>
      </c>
      <c r="K138" s="84">
        <v>120000</v>
      </c>
      <c r="L138" s="84">
        <v>120000</v>
      </c>
      <c r="M138" s="84"/>
      <c r="N138" s="84"/>
      <c r="O138" s="84"/>
      <c r="P138" s="84">
        <f t="shared" si="42"/>
        <v>120000</v>
      </c>
      <c r="Q138" s="84">
        <f t="shared" si="43"/>
        <v>120000</v>
      </c>
      <c r="R138" s="84">
        <f t="shared" si="44"/>
        <v>120000</v>
      </c>
    </row>
    <row r="139" spans="1:18">
      <c r="A139" s="9" t="s">
        <v>100</v>
      </c>
      <c r="B139" s="1" t="s">
        <v>42</v>
      </c>
      <c r="C139" s="1" t="s">
        <v>19</v>
      </c>
      <c r="D139" s="1" t="s">
        <v>20</v>
      </c>
      <c r="E139" s="1" t="s">
        <v>2</v>
      </c>
      <c r="F139" s="1" t="s">
        <v>70</v>
      </c>
      <c r="G139" s="1" t="s">
        <v>148</v>
      </c>
      <c r="H139" s="1" t="s">
        <v>160</v>
      </c>
      <c r="I139" s="13" t="s">
        <v>99</v>
      </c>
      <c r="J139" s="84">
        <f>J140</f>
        <v>50000</v>
      </c>
      <c r="K139" s="84">
        <f t="shared" ref="K139:O139" si="73">K140</f>
        <v>50000</v>
      </c>
      <c r="L139" s="84">
        <f t="shared" si="73"/>
        <v>50000</v>
      </c>
      <c r="M139" s="84">
        <f t="shared" si="73"/>
        <v>0</v>
      </c>
      <c r="N139" s="84">
        <f t="shared" si="73"/>
        <v>0</v>
      </c>
      <c r="O139" s="84">
        <f t="shared" si="73"/>
        <v>0</v>
      </c>
      <c r="P139" s="84">
        <f t="shared" si="42"/>
        <v>50000</v>
      </c>
      <c r="Q139" s="84">
        <f t="shared" si="43"/>
        <v>50000</v>
      </c>
      <c r="R139" s="84">
        <f t="shared" si="44"/>
        <v>50000</v>
      </c>
    </row>
    <row r="140" spans="1:18">
      <c r="A140" s="59" t="s">
        <v>223</v>
      </c>
      <c r="B140" s="1" t="s">
        <v>42</v>
      </c>
      <c r="C140" s="1" t="s">
        <v>19</v>
      </c>
      <c r="D140" s="1" t="s">
        <v>20</v>
      </c>
      <c r="E140" s="1" t="s">
        <v>2</v>
      </c>
      <c r="F140" s="1" t="s">
        <v>70</v>
      </c>
      <c r="G140" s="1" t="s">
        <v>148</v>
      </c>
      <c r="H140" s="1" t="s">
        <v>160</v>
      </c>
      <c r="I140" s="13" t="s">
        <v>222</v>
      </c>
      <c r="J140" s="84">
        <v>50000</v>
      </c>
      <c r="K140" s="84">
        <v>50000</v>
      </c>
      <c r="L140" s="84">
        <v>50000</v>
      </c>
      <c r="M140" s="84"/>
      <c r="N140" s="84"/>
      <c r="O140" s="84"/>
      <c r="P140" s="84">
        <f t="shared" si="42"/>
        <v>50000</v>
      </c>
      <c r="Q140" s="84">
        <f t="shared" si="43"/>
        <v>50000</v>
      </c>
      <c r="R140" s="84">
        <f t="shared" si="44"/>
        <v>50000</v>
      </c>
    </row>
    <row r="141" spans="1:18">
      <c r="A141" s="78"/>
      <c r="B141" s="1"/>
      <c r="C141" s="1"/>
      <c r="D141" s="1"/>
      <c r="E141" s="1"/>
      <c r="F141" s="1"/>
      <c r="G141" s="1"/>
      <c r="H141" s="1"/>
      <c r="I141" s="13"/>
      <c r="J141" s="84"/>
      <c r="K141" s="84"/>
      <c r="L141" s="84"/>
      <c r="M141" s="84"/>
      <c r="N141" s="84"/>
      <c r="O141" s="84"/>
      <c r="P141" s="84"/>
      <c r="Q141" s="84"/>
      <c r="R141" s="84"/>
    </row>
    <row r="142" spans="1:18" ht="25.5">
      <c r="A142" s="48" t="s">
        <v>406</v>
      </c>
      <c r="B142" s="47" t="s">
        <v>41</v>
      </c>
      <c r="C142" s="45"/>
      <c r="D142" s="45"/>
      <c r="E142" s="45"/>
      <c r="F142" s="45"/>
      <c r="G142" s="45"/>
      <c r="H142" s="46"/>
      <c r="I142" s="44"/>
      <c r="J142" s="110">
        <f>J143+J270</f>
        <v>460910544.26000005</v>
      </c>
      <c r="K142" s="110">
        <f>K143+K270</f>
        <v>448643638.92000002</v>
      </c>
      <c r="L142" s="110">
        <f>L143+L270</f>
        <v>456413249.13000005</v>
      </c>
      <c r="M142" s="110">
        <f t="shared" ref="M142:O142" si="74">M143+M270</f>
        <v>-1457932.68</v>
      </c>
      <c r="N142" s="110">
        <f t="shared" si="74"/>
        <v>-1310527.17</v>
      </c>
      <c r="O142" s="110">
        <f t="shared" si="74"/>
        <v>-1450700.4300000002</v>
      </c>
      <c r="P142" s="110">
        <f t="shared" si="42"/>
        <v>459452611.58000004</v>
      </c>
      <c r="Q142" s="110">
        <f t="shared" si="43"/>
        <v>447333111.75</v>
      </c>
      <c r="R142" s="110">
        <f t="shared" si="44"/>
        <v>454962548.70000005</v>
      </c>
    </row>
    <row r="143" spans="1:18" ht="15.75">
      <c r="A143" s="25" t="s">
        <v>24</v>
      </c>
      <c r="B143" s="30" t="s">
        <v>41</v>
      </c>
      <c r="C143" s="30" t="s">
        <v>2</v>
      </c>
      <c r="D143" s="31"/>
      <c r="E143" s="31"/>
      <c r="F143" s="31"/>
      <c r="G143" s="31"/>
      <c r="H143" s="31"/>
      <c r="I143" s="32"/>
      <c r="J143" s="111">
        <f>J144+J160+J193+J224+J243</f>
        <v>450870261.85000002</v>
      </c>
      <c r="K143" s="111">
        <f>K144+K160+K193+K224+K243</f>
        <v>438599534.38</v>
      </c>
      <c r="L143" s="111">
        <f>L144+L160+L193+L224+L243</f>
        <v>446088779.53000003</v>
      </c>
      <c r="M143" s="111">
        <f t="shared" ref="M143:O143" si="75">M144+M160+M193+M224+M243</f>
        <v>-1571950.78</v>
      </c>
      <c r="N143" s="111">
        <f t="shared" si="75"/>
        <v>-1221415.03</v>
      </c>
      <c r="O143" s="111">
        <f t="shared" si="75"/>
        <v>-1080309.6800000002</v>
      </c>
      <c r="P143" s="111">
        <f t="shared" si="42"/>
        <v>449298311.07000005</v>
      </c>
      <c r="Q143" s="111">
        <f t="shared" si="43"/>
        <v>437378119.35000002</v>
      </c>
      <c r="R143" s="111">
        <f t="shared" si="44"/>
        <v>445008469.85000002</v>
      </c>
    </row>
    <row r="144" spans="1:18">
      <c r="A144" s="4" t="s">
        <v>8</v>
      </c>
      <c r="B144" s="14" t="s">
        <v>41</v>
      </c>
      <c r="C144" s="14" t="s">
        <v>2</v>
      </c>
      <c r="D144" s="14" t="s">
        <v>20</v>
      </c>
      <c r="E144" s="14"/>
      <c r="F144" s="14"/>
      <c r="G144" s="14"/>
      <c r="H144" s="14"/>
      <c r="I144" s="29"/>
      <c r="J144" s="112">
        <f>J145</f>
        <v>92670235</v>
      </c>
      <c r="K144" s="112">
        <f t="shared" ref="K144:O145" si="76">K145</f>
        <v>91030997.620000005</v>
      </c>
      <c r="L144" s="112">
        <f t="shared" si="76"/>
        <v>90712509.200000003</v>
      </c>
      <c r="M144" s="112">
        <f t="shared" si="76"/>
        <v>-500000</v>
      </c>
      <c r="N144" s="112">
        <f t="shared" si="76"/>
        <v>-424386.66</v>
      </c>
      <c r="O144" s="112">
        <f t="shared" si="76"/>
        <v>-401680</v>
      </c>
      <c r="P144" s="112">
        <f t="shared" si="42"/>
        <v>92170235</v>
      </c>
      <c r="Q144" s="112">
        <f t="shared" si="43"/>
        <v>90606610.960000008</v>
      </c>
      <c r="R144" s="112">
        <f t="shared" si="44"/>
        <v>90310829.200000003</v>
      </c>
    </row>
    <row r="145" spans="1:18" ht="25.5">
      <c r="A145" s="2" t="s">
        <v>285</v>
      </c>
      <c r="B145" s="66" t="s">
        <v>41</v>
      </c>
      <c r="C145" s="66" t="s">
        <v>2</v>
      </c>
      <c r="D145" s="66" t="s">
        <v>20</v>
      </c>
      <c r="E145" s="66" t="s">
        <v>20</v>
      </c>
      <c r="F145" s="66" t="s">
        <v>70</v>
      </c>
      <c r="G145" s="66" t="s">
        <v>148</v>
      </c>
      <c r="H145" s="66" t="s">
        <v>149</v>
      </c>
      <c r="I145" s="95"/>
      <c r="J145" s="116">
        <f>J146</f>
        <v>92670235</v>
      </c>
      <c r="K145" s="116">
        <f t="shared" si="76"/>
        <v>91030997.620000005</v>
      </c>
      <c r="L145" s="116">
        <f t="shared" si="76"/>
        <v>90712509.200000003</v>
      </c>
      <c r="M145" s="116">
        <f t="shared" si="76"/>
        <v>-500000</v>
      </c>
      <c r="N145" s="116">
        <f t="shared" si="76"/>
        <v>-424386.66</v>
      </c>
      <c r="O145" s="116">
        <f t="shared" si="76"/>
        <v>-401680</v>
      </c>
      <c r="P145" s="116">
        <f t="shared" si="42"/>
        <v>92170235</v>
      </c>
      <c r="Q145" s="116">
        <f t="shared" si="43"/>
        <v>90606610.960000008</v>
      </c>
      <c r="R145" s="116">
        <f t="shared" si="44"/>
        <v>90310829.200000003</v>
      </c>
    </row>
    <row r="146" spans="1:18" ht="25.5">
      <c r="A146" s="2" t="s">
        <v>139</v>
      </c>
      <c r="B146" s="66" t="s">
        <v>41</v>
      </c>
      <c r="C146" s="66" t="s">
        <v>2</v>
      </c>
      <c r="D146" s="66" t="s">
        <v>20</v>
      </c>
      <c r="E146" s="66" t="s">
        <v>20</v>
      </c>
      <c r="F146" s="66" t="s">
        <v>127</v>
      </c>
      <c r="G146" s="66" t="s">
        <v>148</v>
      </c>
      <c r="H146" s="66" t="s">
        <v>149</v>
      </c>
      <c r="I146" s="95"/>
      <c r="J146" s="116">
        <f>J147+J153+J150+J156</f>
        <v>92670235</v>
      </c>
      <c r="K146" s="116">
        <f t="shared" ref="K146:L146" si="77">K147+K153+K150+K156</f>
        <v>91030997.620000005</v>
      </c>
      <c r="L146" s="116">
        <f t="shared" si="77"/>
        <v>90712509.200000003</v>
      </c>
      <c r="M146" s="116">
        <f t="shared" ref="M146:O146" si="78">M147+M153+M150+M156</f>
        <v>-500000</v>
      </c>
      <c r="N146" s="116">
        <f t="shared" si="78"/>
        <v>-424386.66</v>
      </c>
      <c r="O146" s="116">
        <f t="shared" si="78"/>
        <v>-401680</v>
      </c>
      <c r="P146" s="116">
        <f t="shared" si="42"/>
        <v>92170235</v>
      </c>
      <c r="Q146" s="116">
        <f t="shared" si="43"/>
        <v>90606610.960000008</v>
      </c>
      <c r="R146" s="116">
        <f t="shared" si="44"/>
        <v>90310829.200000003</v>
      </c>
    </row>
    <row r="147" spans="1:18" ht="25.5">
      <c r="A147" s="2" t="s">
        <v>140</v>
      </c>
      <c r="B147" s="66" t="s">
        <v>41</v>
      </c>
      <c r="C147" s="66" t="s">
        <v>2</v>
      </c>
      <c r="D147" s="66" t="s">
        <v>20</v>
      </c>
      <c r="E147" s="66" t="s">
        <v>20</v>
      </c>
      <c r="F147" s="66" t="s">
        <v>127</v>
      </c>
      <c r="G147" s="66" t="s">
        <v>148</v>
      </c>
      <c r="H147" s="66" t="s">
        <v>161</v>
      </c>
      <c r="I147" s="95"/>
      <c r="J147" s="116">
        <f>J148</f>
        <v>38975181</v>
      </c>
      <c r="K147" s="116">
        <f t="shared" ref="K147:O148" si="79">K148</f>
        <v>39555634.619999997</v>
      </c>
      <c r="L147" s="116">
        <f t="shared" si="79"/>
        <v>37409246.200000003</v>
      </c>
      <c r="M147" s="116">
        <f t="shared" si="79"/>
        <v>0</v>
      </c>
      <c r="N147" s="116">
        <f t="shared" si="79"/>
        <v>0</v>
      </c>
      <c r="O147" s="116">
        <f t="shared" si="79"/>
        <v>0</v>
      </c>
      <c r="P147" s="116">
        <f t="shared" si="42"/>
        <v>38975181</v>
      </c>
      <c r="Q147" s="116">
        <f t="shared" si="43"/>
        <v>39555634.619999997</v>
      </c>
      <c r="R147" s="116">
        <f t="shared" si="44"/>
        <v>37409246.200000003</v>
      </c>
    </row>
    <row r="148" spans="1:18" ht="25.5">
      <c r="A148" s="7" t="s">
        <v>72</v>
      </c>
      <c r="B148" s="66" t="s">
        <v>41</v>
      </c>
      <c r="C148" s="66" t="s">
        <v>2</v>
      </c>
      <c r="D148" s="66" t="s">
        <v>20</v>
      </c>
      <c r="E148" s="66" t="s">
        <v>20</v>
      </c>
      <c r="F148" s="66" t="s">
        <v>127</v>
      </c>
      <c r="G148" s="66" t="s">
        <v>148</v>
      </c>
      <c r="H148" s="66" t="s">
        <v>161</v>
      </c>
      <c r="I148" s="95" t="s">
        <v>71</v>
      </c>
      <c r="J148" s="116">
        <f>J149</f>
        <v>38975181</v>
      </c>
      <c r="K148" s="116">
        <f t="shared" si="79"/>
        <v>39555634.619999997</v>
      </c>
      <c r="L148" s="116">
        <f t="shared" si="79"/>
        <v>37409246.200000003</v>
      </c>
      <c r="M148" s="116">
        <f t="shared" si="79"/>
        <v>0</v>
      </c>
      <c r="N148" s="116">
        <f t="shared" si="79"/>
        <v>0</v>
      </c>
      <c r="O148" s="116">
        <f t="shared" si="79"/>
        <v>0</v>
      </c>
      <c r="P148" s="116">
        <f t="shared" si="42"/>
        <v>38975181</v>
      </c>
      <c r="Q148" s="116">
        <f t="shared" si="43"/>
        <v>39555634.619999997</v>
      </c>
      <c r="R148" s="116">
        <f t="shared" si="44"/>
        <v>37409246.200000003</v>
      </c>
    </row>
    <row r="149" spans="1:18">
      <c r="A149" s="11" t="s">
        <v>75</v>
      </c>
      <c r="B149" s="66" t="s">
        <v>41</v>
      </c>
      <c r="C149" s="66" t="s">
        <v>2</v>
      </c>
      <c r="D149" s="66" t="s">
        <v>20</v>
      </c>
      <c r="E149" s="66" t="s">
        <v>20</v>
      </c>
      <c r="F149" s="66" t="s">
        <v>127</v>
      </c>
      <c r="G149" s="66" t="s">
        <v>148</v>
      </c>
      <c r="H149" s="66" t="s">
        <v>161</v>
      </c>
      <c r="I149" s="95" t="s">
        <v>74</v>
      </c>
      <c r="J149" s="116">
        <f>38075181+900000</f>
        <v>38975181</v>
      </c>
      <c r="K149" s="116">
        <f>38655634.62+900000</f>
        <v>39555634.619999997</v>
      </c>
      <c r="L149" s="116">
        <f>36909246.2+500000</f>
        <v>37409246.200000003</v>
      </c>
      <c r="M149" s="116"/>
      <c r="N149" s="116"/>
      <c r="O149" s="116"/>
      <c r="P149" s="116">
        <f t="shared" ref="P149:P212" si="80">J149+M149</f>
        <v>38975181</v>
      </c>
      <c r="Q149" s="116">
        <f t="shared" ref="Q149:Q212" si="81">K149+N149</f>
        <v>39555634.619999997</v>
      </c>
      <c r="R149" s="116">
        <f t="shared" ref="R149:R212" si="82">L149+O149</f>
        <v>37409246.200000003</v>
      </c>
    </row>
    <row r="150" spans="1:18" ht="25.5">
      <c r="A150" s="2" t="s">
        <v>377</v>
      </c>
      <c r="B150" s="66" t="s">
        <v>41</v>
      </c>
      <c r="C150" s="66" t="s">
        <v>2</v>
      </c>
      <c r="D150" s="66" t="s">
        <v>20</v>
      </c>
      <c r="E150" s="66" t="s">
        <v>20</v>
      </c>
      <c r="F150" s="66" t="s">
        <v>127</v>
      </c>
      <c r="G150" s="66" t="s">
        <v>148</v>
      </c>
      <c r="H150" s="60" t="s">
        <v>226</v>
      </c>
      <c r="I150" s="129"/>
      <c r="J150" s="116">
        <f>J151</f>
        <v>500000</v>
      </c>
      <c r="K150" s="116">
        <f t="shared" ref="K150:O151" si="83">K151</f>
        <v>500000</v>
      </c>
      <c r="L150" s="116">
        <f t="shared" si="83"/>
        <v>300000</v>
      </c>
      <c r="M150" s="116">
        <f t="shared" si="83"/>
        <v>0</v>
      </c>
      <c r="N150" s="116">
        <f t="shared" si="83"/>
        <v>0</v>
      </c>
      <c r="O150" s="116">
        <f t="shared" si="83"/>
        <v>0</v>
      </c>
      <c r="P150" s="116">
        <f t="shared" si="80"/>
        <v>500000</v>
      </c>
      <c r="Q150" s="116">
        <f t="shared" si="81"/>
        <v>500000</v>
      </c>
      <c r="R150" s="116">
        <f t="shared" si="82"/>
        <v>300000</v>
      </c>
    </row>
    <row r="151" spans="1:18" ht="25.5">
      <c r="A151" s="7" t="s">
        <v>72</v>
      </c>
      <c r="B151" s="66" t="s">
        <v>41</v>
      </c>
      <c r="C151" s="66" t="s">
        <v>2</v>
      </c>
      <c r="D151" s="66" t="s">
        <v>20</v>
      </c>
      <c r="E151" s="66" t="s">
        <v>20</v>
      </c>
      <c r="F151" s="66" t="s">
        <v>127</v>
      </c>
      <c r="G151" s="66" t="s">
        <v>148</v>
      </c>
      <c r="H151" s="60" t="s">
        <v>226</v>
      </c>
      <c r="I151" s="129" t="s">
        <v>71</v>
      </c>
      <c r="J151" s="116">
        <f>J152</f>
        <v>500000</v>
      </c>
      <c r="K151" s="116">
        <f t="shared" si="83"/>
        <v>500000</v>
      </c>
      <c r="L151" s="116">
        <f t="shared" si="83"/>
        <v>300000</v>
      </c>
      <c r="M151" s="116">
        <f t="shared" si="83"/>
        <v>0</v>
      </c>
      <c r="N151" s="116">
        <f t="shared" si="83"/>
        <v>0</v>
      </c>
      <c r="O151" s="116">
        <f t="shared" si="83"/>
        <v>0</v>
      </c>
      <c r="P151" s="116">
        <f t="shared" si="80"/>
        <v>500000</v>
      </c>
      <c r="Q151" s="116">
        <f t="shared" si="81"/>
        <v>500000</v>
      </c>
      <c r="R151" s="116">
        <f t="shared" si="82"/>
        <v>300000</v>
      </c>
    </row>
    <row r="152" spans="1:18">
      <c r="A152" s="11" t="s">
        <v>75</v>
      </c>
      <c r="B152" s="66" t="s">
        <v>41</v>
      </c>
      <c r="C152" s="66" t="s">
        <v>2</v>
      </c>
      <c r="D152" s="66" t="s">
        <v>20</v>
      </c>
      <c r="E152" s="66" t="s">
        <v>20</v>
      </c>
      <c r="F152" s="66" t="s">
        <v>127</v>
      </c>
      <c r="G152" s="66" t="s">
        <v>148</v>
      </c>
      <c r="H152" s="60" t="s">
        <v>226</v>
      </c>
      <c r="I152" s="129" t="s">
        <v>74</v>
      </c>
      <c r="J152" s="116">
        <v>500000</v>
      </c>
      <c r="K152" s="116">
        <v>500000</v>
      </c>
      <c r="L152" s="116">
        <v>300000</v>
      </c>
      <c r="M152" s="116"/>
      <c r="N152" s="116"/>
      <c r="O152" s="116"/>
      <c r="P152" s="116">
        <f t="shared" si="80"/>
        <v>500000</v>
      </c>
      <c r="Q152" s="116">
        <f t="shared" si="81"/>
        <v>500000</v>
      </c>
      <c r="R152" s="116">
        <f t="shared" si="82"/>
        <v>300000</v>
      </c>
    </row>
    <row r="153" spans="1:18" ht="63.75">
      <c r="A153" s="11" t="s">
        <v>313</v>
      </c>
      <c r="B153" s="66" t="s">
        <v>41</v>
      </c>
      <c r="C153" s="66" t="s">
        <v>2</v>
      </c>
      <c r="D153" s="66" t="s">
        <v>20</v>
      </c>
      <c r="E153" s="66" t="s">
        <v>20</v>
      </c>
      <c r="F153" s="66" t="s">
        <v>127</v>
      </c>
      <c r="G153" s="66" t="s">
        <v>148</v>
      </c>
      <c r="H153" s="60" t="s">
        <v>206</v>
      </c>
      <c r="I153" s="95"/>
      <c r="J153" s="116">
        <f>J154</f>
        <v>2037668</v>
      </c>
      <c r="K153" s="116">
        <f t="shared" ref="K153:O154" si="84">K154</f>
        <v>2119174</v>
      </c>
      <c r="L153" s="116">
        <f t="shared" si="84"/>
        <v>2401680</v>
      </c>
      <c r="M153" s="116">
        <f t="shared" si="84"/>
        <v>-500000</v>
      </c>
      <c r="N153" s="116">
        <f t="shared" si="84"/>
        <v>-424386.66</v>
      </c>
      <c r="O153" s="116">
        <f t="shared" si="84"/>
        <v>-401680</v>
      </c>
      <c r="P153" s="116">
        <f t="shared" si="80"/>
        <v>1537668</v>
      </c>
      <c r="Q153" s="116">
        <f t="shared" si="81"/>
        <v>1694787.34</v>
      </c>
      <c r="R153" s="116">
        <f t="shared" si="82"/>
        <v>2000000</v>
      </c>
    </row>
    <row r="154" spans="1:18" ht="25.5">
      <c r="A154" s="7" t="s">
        <v>72</v>
      </c>
      <c r="B154" s="66" t="s">
        <v>41</v>
      </c>
      <c r="C154" s="66" t="s">
        <v>2</v>
      </c>
      <c r="D154" s="66" t="s">
        <v>20</v>
      </c>
      <c r="E154" s="66" t="s">
        <v>20</v>
      </c>
      <c r="F154" s="66" t="s">
        <v>127</v>
      </c>
      <c r="G154" s="66" t="s">
        <v>148</v>
      </c>
      <c r="H154" s="60" t="s">
        <v>206</v>
      </c>
      <c r="I154" s="129" t="s">
        <v>71</v>
      </c>
      <c r="J154" s="116">
        <f>J155</f>
        <v>2037668</v>
      </c>
      <c r="K154" s="116">
        <f t="shared" si="84"/>
        <v>2119174</v>
      </c>
      <c r="L154" s="116">
        <f t="shared" si="84"/>
        <v>2401680</v>
      </c>
      <c r="M154" s="116">
        <f t="shared" si="84"/>
        <v>-500000</v>
      </c>
      <c r="N154" s="116">
        <f t="shared" si="84"/>
        <v>-424386.66</v>
      </c>
      <c r="O154" s="116">
        <f t="shared" si="84"/>
        <v>-401680</v>
      </c>
      <c r="P154" s="116">
        <f t="shared" si="80"/>
        <v>1537668</v>
      </c>
      <c r="Q154" s="116">
        <f t="shared" si="81"/>
        <v>1694787.34</v>
      </c>
      <c r="R154" s="116">
        <f t="shared" si="82"/>
        <v>2000000</v>
      </c>
    </row>
    <row r="155" spans="1:18">
      <c r="A155" s="11" t="s">
        <v>75</v>
      </c>
      <c r="B155" s="66" t="s">
        <v>41</v>
      </c>
      <c r="C155" s="66" t="s">
        <v>2</v>
      </c>
      <c r="D155" s="66" t="s">
        <v>20</v>
      </c>
      <c r="E155" s="66" t="s">
        <v>20</v>
      </c>
      <c r="F155" s="66" t="s">
        <v>127</v>
      </c>
      <c r="G155" s="66" t="s">
        <v>148</v>
      </c>
      <c r="H155" s="60" t="s">
        <v>206</v>
      </c>
      <c r="I155" s="129" t="s">
        <v>74</v>
      </c>
      <c r="J155" s="116">
        <v>2037668</v>
      </c>
      <c r="K155" s="116">
        <v>2119174</v>
      </c>
      <c r="L155" s="116">
        <v>2401680</v>
      </c>
      <c r="M155" s="116">
        <v>-500000</v>
      </c>
      <c r="N155" s="116">
        <v>-424386.66</v>
      </c>
      <c r="O155" s="116">
        <v>-401680</v>
      </c>
      <c r="P155" s="116">
        <f t="shared" si="80"/>
        <v>1537668</v>
      </c>
      <c r="Q155" s="116">
        <f t="shared" si="81"/>
        <v>1694787.34</v>
      </c>
      <c r="R155" s="116">
        <f t="shared" si="82"/>
        <v>2000000</v>
      </c>
    </row>
    <row r="156" spans="1:18" ht="25.5">
      <c r="A156" s="7" t="s">
        <v>394</v>
      </c>
      <c r="B156" s="66" t="s">
        <v>41</v>
      </c>
      <c r="C156" s="66" t="s">
        <v>2</v>
      </c>
      <c r="D156" s="66" t="s">
        <v>20</v>
      </c>
      <c r="E156" s="66" t="s">
        <v>20</v>
      </c>
      <c r="F156" s="66" t="s">
        <v>127</v>
      </c>
      <c r="G156" s="66" t="s">
        <v>148</v>
      </c>
      <c r="H156" s="60" t="s">
        <v>243</v>
      </c>
      <c r="I156" s="95"/>
      <c r="J156" s="116">
        <f>J157</f>
        <v>51157386</v>
      </c>
      <c r="K156" s="116">
        <f t="shared" ref="K156:O157" si="85">K157</f>
        <v>48856189</v>
      </c>
      <c r="L156" s="116">
        <f t="shared" si="85"/>
        <v>50601583</v>
      </c>
      <c r="M156" s="116">
        <f t="shared" si="85"/>
        <v>0</v>
      </c>
      <c r="N156" s="116">
        <f t="shared" si="85"/>
        <v>0</v>
      </c>
      <c r="O156" s="116">
        <f t="shared" si="85"/>
        <v>0</v>
      </c>
      <c r="P156" s="116">
        <f t="shared" si="80"/>
        <v>51157386</v>
      </c>
      <c r="Q156" s="116">
        <f t="shared" si="81"/>
        <v>48856189</v>
      </c>
      <c r="R156" s="116">
        <f t="shared" si="82"/>
        <v>50601583</v>
      </c>
    </row>
    <row r="157" spans="1:18" ht="25.5">
      <c r="A157" s="7" t="s">
        <v>72</v>
      </c>
      <c r="B157" s="66" t="s">
        <v>41</v>
      </c>
      <c r="C157" s="66" t="s">
        <v>2</v>
      </c>
      <c r="D157" s="66" t="s">
        <v>20</v>
      </c>
      <c r="E157" s="66" t="s">
        <v>20</v>
      </c>
      <c r="F157" s="66" t="s">
        <v>127</v>
      </c>
      <c r="G157" s="66" t="s">
        <v>148</v>
      </c>
      <c r="H157" s="60" t="s">
        <v>243</v>
      </c>
      <c r="I157" s="95" t="s">
        <v>71</v>
      </c>
      <c r="J157" s="116">
        <f>J158</f>
        <v>51157386</v>
      </c>
      <c r="K157" s="116">
        <f t="shared" si="85"/>
        <v>48856189</v>
      </c>
      <c r="L157" s="116">
        <f t="shared" si="85"/>
        <v>50601583</v>
      </c>
      <c r="M157" s="116">
        <f t="shared" si="85"/>
        <v>0</v>
      </c>
      <c r="N157" s="116">
        <f t="shared" si="85"/>
        <v>0</v>
      </c>
      <c r="O157" s="116">
        <f t="shared" si="85"/>
        <v>0</v>
      </c>
      <c r="P157" s="116">
        <f t="shared" si="80"/>
        <v>51157386</v>
      </c>
      <c r="Q157" s="116">
        <f t="shared" si="81"/>
        <v>48856189</v>
      </c>
      <c r="R157" s="116">
        <f t="shared" si="82"/>
        <v>50601583</v>
      </c>
    </row>
    <row r="158" spans="1:18">
      <c r="A158" s="11" t="s">
        <v>75</v>
      </c>
      <c r="B158" s="66" t="s">
        <v>41</v>
      </c>
      <c r="C158" s="66" t="s">
        <v>2</v>
      </c>
      <c r="D158" s="66" t="s">
        <v>20</v>
      </c>
      <c r="E158" s="66" t="s">
        <v>20</v>
      </c>
      <c r="F158" s="66" t="s">
        <v>127</v>
      </c>
      <c r="G158" s="66" t="s">
        <v>148</v>
      </c>
      <c r="H158" s="60" t="s">
        <v>243</v>
      </c>
      <c r="I158" s="95" t="s">
        <v>74</v>
      </c>
      <c r="J158" s="116">
        <v>51157386</v>
      </c>
      <c r="K158" s="116">
        <v>48856189</v>
      </c>
      <c r="L158" s="116">
        <v>50601583</v>
      </c>
      <c r="M158" s="116"/>
      <c r="N158" s="116"/>
      <c r="O158" s="116"/>
      <c r="P158" s="116">
        <f t="shared" si="80"/>
        <v>51157386</v>
      </c>
      <c r="Q158" s="116">
        <f t="shared" si="81"/>
        <v>48856189</v>
      </c>
      <c r="R158" s="116">
        <f t="shared" si="82"/>
        <v>50601583</v>
      </c>
    </row>
    <row r="159" spans="1:18">
      <c r="A159" s="7"/>
      <c r="B159" s="1"/>
      <c r="C159" s="1"/>
      <c r="D159" s="1"/>
      <c r="E159" s="1"/>
      <c r="F159" s="1"/>
      <c r="G159" s="1"/>
      <c r="H159" s="1"/>
      <c r="I159" s="13"/>
      <c r="J159" s="84"/>
      <c r="K159" s="84"/>
      <c r="L159" s="84"/>
      <c r="M159" s="84"/>
      <c r="N159" s="84"/>
      <c r="O159" s="84"/>
      <c r="P159" s="84"/>
      <c r="Q159" s="84"/>
      <c r="R159" s="84"/>
    </row>
    <row r="160" spans="1:18" s="88" customFormat="1">
      <c r="A160" s="4" t="s">
        <v>25</v>
      </c>
      <c r="B160" s="14" t="s">
        <v>41</v>
      </c>
      <c r="C160" s="15" t="s">
        <v>2</v>
      </c>
      <c r="D160" s="15" t="s">
        <v>17</v>
      </c>
      <c r="E160" s="15"/>
      <c r="F160" s="15"/>
      <c r="G160" s="15"/>
      <c r="H160" s="15"/>
      <c r="I160" s="27"/>
      <c r="J160" s="112">
        <f>J161</f>
        <v>309079104.48000002</v>
      </c>
      <c r="K160" s="112">
        <f t="shared" ref="K160:O160" si="86">K161</f>
        <v>303362208.33000004</v>
      </c>
      <c r="L160" s="112">
        <f t="shared" si="86"/>
        <v>310417017.47000003</v>
      </c>
      <c r="M160" s="112">
        <f t="shared" si="86"/>
        <v>-1071950.78</v>
      </c>
      <c r="N160" s="112">
        <f t="shared" si="86"/>
        <v>-797028.37</v>
      </c>
      <c r="O160" s="112">
        <f t="shared" si="86"/>
        <v>-678629.68</v>
      </c>
      <c r="P160" s="112">
        <f t="shared" si="80"/>
        <v>308007153.70000005</v>
      </c>
      <c r="Q160" s="112">
        <f t="shared" si="81"/>
        <v>302565179.96000004</v>
      </c>
      <c r="R160" s="112">
        <f t="shared" si="82"/>
        <v>309738387.79000002</v>
      </c>
    </row>
    <row r="161" spans="1:18" s="88" customFormat="1" ht="25.5">
      <c r="A161" s="2" t="s">
        <v>285</v>
      </c>
      <c r="B161" s="66" t="s">
        <v>41</v>
      </c>
      <c r="C161" s="1" t="s">
        <v>2</v>
      </c>
      <c r="D161" s="1" t="s">
        <v>17</v>
      </c>
      <c r="E161" s="1" t="s">
        <v>20</v>
      </c>
      <c r="F161" s="1" t="s">
        <v>70</v>
      </c>
      <c r="G161" s="1" t="s">
        <v>148</v>
      </c>
      <c r="H161" s="1" t="s">
        <v>149</v>
      </c>
      <c r="I161" s="13"/>
      <c r="J161" s="116">
        <f>J162+J184+J188</f>
        <v>309079104.48000002</v>
      </c>
      <c r="K161" s="116">
        <f t="shared" ref="K161:L161" si="87">K162+K184+K188</f>
        <v>303362208.33000004</v>
      </c>
      <c r="L161" s="116">
        <f t="shared" si="87"/>
        <v>310417017.47000003</v>
      </c>
      <c r="M161" s="116">
        <f t="shared" ref="M161:O161" si="88">M162+M184+M188</f>
        <v>-1071950.78</v>
      </c>
      <c r="N161" s="116">
        <f t="shared" si="88"/>
        <v>-797028.37</v>
      </c>
      <c r="O161" s="116">
        <f t="shared" si="88"/>
        <v>-678629.68</v>
      </c>
      <c r="P161" s="116">
        <f t="shared" si="80"/>
        <v>308007153.70000005</v>
      </c>
      <c r="Q161" s="116">
        <f t="shared" si="81"/>
        <v>302565179.96000004</v>
      </c>
      <c r="R161" s="116">
        <f t="shared" si="82"/>
        <v>309738387.79000002</v>
      </c>
    </row>
    <row r="162" spans="1:18" s="88" customFormat="1">
      <c r="A162" s="2" t="s">
        <v>142</v>
      </c>
      <c r="B162" s="66" t="s">
        <v>41</v>
      </c>
      <c r="C162" s="1" t="s">
        <v>2</v>
      </c>
      <c r="D162" s="1" t="s">
        <v>17</v>
      </c>
      <c r="E162" s="1" t="s">
        <v>20</v>
      </c>
      <c r="F162" s="1" t="s">
        <v>134</v>
      </c>
      <c r="G162" s="1" t="s">
        <v>148</v>
      </c>
      <c r="H162" s="1" t="s">
        <v>149</v>
      </c>
      <c r="I162" s="13"/>
      <c r="J162" s="116">
        <f>J163+J169+J175+J166+J172+J178+J181</f>
        <v>308564104.48000002</v>
      </c>
      <c r="K162" s="116">
        <f t="shared" ref="K162:L162" si="89">K163+K169+K175+K166+K172+K178+K181</f>
        <v>302847208.33000004</v>
      </c>
      <c r="L162" s="116">
        <f t="shared" si="89"/>
        <v>309902017.47000003</v>
      </c>
      <c r="M162" s="116">
        <f t="shared" ref="M162:O162" si="90">M163+M169+M175+M166+M172+M178+M181</f>
        <v>-1071950.78</v>
      </c>
      <c r="N162" s="116">
        <f t="shared" si="90"/>
        <v>-797028.37</v>
      </c>
      <c r="O162" s="116">
        <f t="shared" si="90"/>
        <v>-678629.68</v>
      </c>
      <c r="P162" s="116">
        <f t="shared" si="80"/>
        <v>307492153.70000005</v>
      </c>
      <c r="Q162" s="116">
        <f t="shared" si="81"/>
        <v>302050179.96000004</v>
      </c>
      <c r="R162" s="116">
        <f t="shared" si="82"/>
        <v>309223387.79000002</v>
      </c>
    </row>
    <row r="163" spans="1:18" s="88" customFormat="1" ht="38.25">
      <c r="A163" s="2" t="s">
        <v>143</v>
      </c>
      <c r="B163" s="66" t="s">
        <v>41</v>
      </c>
      <c r="C163" s="1" t="s">
        <v>2</v>
      </c>
      <c r="D163" s="1" t="s">
        <v>17</v>
      </c>
      <c r="E163" s="1" t="s">
        <v>20</v>
      </c>
      <c r="F163" s="1" t="s">
        <v>134</v>
      </c>
      <c r="G163" s="1" t="s">
        <v>148</v>
      </c>
      <c r="H163" s="1" t="s">
        <v>163</v>
      </c>
      <c r="I163" s="13"/>
      <c r="J163" s="116">
        <f>J164</f>
        <v>116245370</v>
      </c>
      <c r="K163" s="116">
        <f t="shared" ref="K163:O164" si="91">K164</f>
        <v>118721590.56</v>
      </c>
      <c r="L163" s="116">
        <f t="shared" si="91"/>
        <v>121831156.06</v>
      </c>
      <c r="M163" s="116">
        <f t="shared" si="91"/>
        <v>0</v>
      </c>
      <c r="N163" s="116">
        <f t="shared" si="91"/>
        <v>0</v>
      </c>
      <c r="O163" s="116">
        <f t="shared" si="91"/>
        <v>0</v>
      </c>
      <c r="P163" s="116">
        <f t="shared" si="80"/>
        <v>116245370</v>
      </c>
      <c r="Q163" s="116">
        <f t="shared" si="81"/>
        <v>118721590.56</v>
      </c>
      <c r="R163" s="116">
        <f t="shared" si="82"/>
        <v>121831156.06</v>
      </c>
    </row>
    <row r="164" spans="1:18" s="88" customFormat="1" ht="25.5">
      <c r="A164" s="7" t="s">
        <v>72</v>
      </c>
      <c r="B164" s="66" t="s">
        <v>41</v>
      </c>
      <c r="C164" s="1" t="s">
        <v>2</v>
      </c>
      <c r="D164" s="1" t="s">
        <v>17</v>
      </c>
      <c r="E164" s="1" t="s">
        <v>20</v>
      </c>
      <c r="F164" s="1" t="s">
        <v>134</v>
      </c>
      <c r="G164" s="1" t="s">
        <v>148</v>
      </c>
      <c r="H164" s="1" t="s">
        <v>163</v>
      </c>
      <c r="I164" s="13" t="s">
        <v>71</v>
      </c>
      <c r="J164" s="116">
        <f>J165</f>
        <v>116245370</v>
      </c>
      <c r="K164" s="116">
        <f t="shared" si="91"/>
        <v>118721590.56</v>
      </c>
      <c r="L164" s="116">
        <f t="shared" si="91"/>
        <v>121831156.06</v>
      </c>
      <c r="M164" s="116">
        <f t="shared" si="91"/>
        <v>0</v>
      </c>
      <c r="N164" s="116">
        <f t="shared" si="91"/>
        <v>0</v>
      </c>
      <c r="O164" s="116">
        <f t="shared" si="91"/>
        <v>0</v>
      </c>
      <c r="P164" s="116">
        <f t="shared" si="80"/>
        <v>116245370</v>
      </c>
      <c r="Q164" s="116">
        <f t="shared" si="81"/>
        <v>118721590.56</v>
      </c>
      <c r="R164" s="116">
        <f t="shared" si="82"/>
        <v>121831156.06</v>
      </c>
    </row>
    <row r="165" spans="1:18">
      <c r="A165" s="11" t="s">
        <v>75</v>
      </c>
      <c r="B165" s="66" t="s">
        <v>41</v>
      </c>
      <c r="C165" s="1" t="s">
        <v>2</v>
      </c>
      <c r="D165" s="1" t="s">
        <v>17</v>
      </c>
      <c r="E165" s="1" t="s">
        <v>20</v>
      </c>
      <c r="F165" s="1" t="s">
        <v>134</v>
      </c>
      <c r="G165" s="1" t="s">
        <v>148</v>
      </c>
      <c r="H165" s="1" t="s">
        <v>163</v>
      </c>
      <c r="I165" s="13" t="s">
        <v>74</v>
      </c>
      <c r="J165" s="116">
        <f>113745370+2500000</f>
        <v>116245370</v>
      </c>
      <c r="K165" s="116">
        <f>116221590.56+2500000</f>
        <v>118721590.56</v>
      </c>
      <c r="L165" s="116">
        <f>120331156.06+1500000</f>
        <v>121831156.06</v>
      </c>
      <c r="M165" s="116"/>
      <c r="N165" s="116"/>
      <c r="O165" s="116"/>
      <c r="P165" s="116">
        <f t="shared" si="80"/>
        <v>116245370</v>
      </c>
      <c r="Q165" s="116">
        <f t="shared" si="81"/>
        <v>118721590.56</v>
      </c>
      <c r="R165" s="116">
        <f t="shared" si="82"/>
        <v>121831156.06</v>
      </c>
    </row>
    <row r="166" spans="1:18" ht="25.5">
      <c r="A166" s="2" t="s">
        <v>377</v>
      </c>
      <c r="B166" s="66" t="s">
        <v>41</v>
      </c>
      <c r="C166" s="1" t="s">
        <v>2</v>
      </c>
      <c r="D166" s="1" t="s">
        <v>17</v>
      </c>
      <c r="E166" s="1" t="s">
        <v>20</v>
      </c>
      <c r="F166" s="1" t="s">
        <v>134</v>
      </c>
      <c r="G166" s="66" t="s">
        <v>148</v>
      </c>
      <c r="H166" s="60" t="s">
        <v>226</v>
      </c>
      <c r="I166" s="129"/>
      <c r="J166" s="116">
        <f>J167</f>
        <v>5000000</v>
      </c>
      <c r="K166" s="116">
        <f t="shared" ref="K166:O167" si="92">K167</f>
        <v>4000000</v>
      </c>
      <c r="L166" s="116">
        <f t="shared" si="92"/>
        <v>1000000</v>
      </c>
      <c r="M166" s="116">
        <f t="shared" si="92"/>
        <v>0</v>
      </c>
      <c r="N166" s="116">
        <f t="shared" si="92"/>
        <v>0</v>
      </c>
      <c r="O166" s="116">
        <f t="shared" si="92"/>
        <v>0</v>
      </c>
      <c r="P166" s="116">
        <f t="shared" si="80"/>
        <v>5000000</v>
      </c>
      <c r="Q166" s="116">
        <f t="shared" si="81"/>
        <v>4000000</v>
      </c>
      <c r="R166" s="116">
        <f t="shared" si="82"/>
        <v>1000000</v>
      </c>
    </row>
    <row r="167" spans="1:18" ht="25.5">
      <c r="A167" s="7" t="s">
        <v>72</v>
      </c>
      <c r="B167" s="66" t="s">
        <v>41</v>
      </c>
      <c r="C167" s="1" t="s">
        <v>2</v>
      </c>
      <c r="D167" s="1" t="s">
        <v>17</v>
      </c>
      <c r="E167" s="1" t="s">
        <v>20</v>
      </c>
      <c r="F167" s="1" t="s">
        <v>134</v>
      </c>
      <c r="G167" s="66" t="s">
        <v>148</v>
      </c>
      <c r="H167" s="60" t="s">
        <v>226</v>
      </c>
      <c r="I167" s="129" t="s">
        <v>71</v>
      </c>
      <c r="J167" s="116">
        <f>J168</f>
        <v>5000000</v>
      </c>
      <c r="K167" s="116">
        <f t="shared" si="92"/>
        <v>4000000</v>
      </c>
      <c r="L167" s="116">
        <f t="shared" si="92"/>
        <v>1000000</v>
      </c>
      <c r="M167" s="116">
        <f t="shared" si="92"/>
        <v>0</v>
      </c>
      <c r="N167" s="116">
        <f t="shared" si="92"/>
        <v>0</v>
      </c>
      <c r="O167" s="116">
        <f t="shared" si="92"/>
        <v>0</v>
      </c>
      <c r="P167" s="116">
        <f t="shared" si="80"/>
        <v>5000000</v>
      </c>
      <c r="Q167" s="116">
        <f t="shared" si="81"/>
        <v>4000000</v>
      </c>
      <c r="R167" s="116">
        <f t="shared" si="82"/>
        <v>1000000</v>
      </c>
    </row>
    <row r="168" spans="1:18" s="88" customFormat="1">
      <c r="A168" s="11" t="s">
        <v>75</v>
      </c>
      <c r="B168" s="66" t="s">
        <v>41</v>
      </c>
      <c r="C168" s="1" t="s">
        <v>2</v>
      </c>
      <c r="D168" s="1" t="s">
        <v>17</v>
      </c>
      <c r="E168" s="1" t="s">
        <v>20</v>
      </c>
      <c r="F168" s="1" t="s">
        <v>134</v>
      </c>
      <c r="G168" s="66" t="s">
        <v>148</v>
      </c>
      <c r="H168" s="60" t="s">
        <v>226</v>
      </c>
      <c r="I168" s="129" t="s">
        <v>74</v>
      </c>
      <c r="J168" s="116">
        <v>5000000</v>
      </c>
      <c r="K168" s="116">
        <v>4000000</v>
      </c>
      <c r="L168" s="116">
        <v>1000000</v>
      </c>
      <c r="M168" s="116"/>
      <c r="N168" s="116"/>
      <c r="O168" s="116"/>
      <c r="P168" s="116">
        <f t="shared" si="80"/>
        <v>5000000</v>
      </c>
      <c r="Q168" s="116">
        <f t="shared" si="81"/>
        <v>4000000</v>
      </c>
      <c r="R168" s="116">
        <f t="shared" si="82"/>
        <v>1000000</v>
      </c>
    </row>
    <row r="169" spans="1:18" s="88" customFormat="1" ht="38.25">
      <c r="A169" s="2" t="s">
        <v>381</v>
      </c>
      <c r="B169" s="66" t="s">
        <v>41</v>
      </c>
      <c r="C169" s="1" t="s">
        <v>2</v>
      </c>
      <c r="D169" s="1" t="s">
        <v>17</v>
      </c>
      <c r="E169" s="1" t="s">
        <v>20</v>
      </c>
      <c r="F169" s="1" t="s">
        <v>134</v>
      </c>
      <c r="G169" s="1" t="s">
        <v>148</v>
      </c>
      <c r="H169" s="1" t="s">
        <v>156</v>
      </c>
      <c r="I169" s="13"/>
      <c r="J169" s="116">
        <f>J170</f>
        <v>39035.279999999999</v>
      </c>
      <c r="K169" s="116">
        <f t="shared" ref="K169:O170" si="93">K170</f>
        <v>40596.400000000001</v>
      </c>
      <c r="L169" s="116">
        <f t="shared" si="93"/>
        <v>42220.25</v>
      </c>
      <c r="M169" s="116">
        <f t="shared" si="93"/>
        <v>0</v>
      </c>
      <c r="N169" s="116">
        <f t="shared" si="93"/>
        <v>0</v>
      </c>
      <c r="O169" s="116">
        <f t="shared" si="93"/>
        <v>0</v>
      </c>
      <c r="P169" s="116">
        <f t="shared" si="80"/>
        <v>39035.279999999999</v>
      </c>
      <c r="Q169" s="116">
        <f t="shared" si="81"/>
        <v>40596.400000000001</v>
      </c>
      <c r="R169" s="116">
        <f t="shared" si="82"/>
        <v>42220.25</v>
      </c>
    </row>
    <row r="170" spans="1:18" s="88" customFormat="1" ht="25.5">
      <c r="A170" s="7" t="s">
        <v>72</v>
      </c>
      <c r="B170" s="66" t="s">
        <v>41</v>
      </c>
      <c r="C170" s="1" t="s">
        <v>2</v>
      </c>
      <c r="D170" s="1" t="s">
        <v>17</v>
      </c>
      <c r="E170" s="1" t="s">
        <v>20</v>
      </c>
      <c r="F170" s="1" t="s">
        <v>134</v>
      </c>
      <c r="G170" s="1" t="s">
        <v>148</v>
      </c>
      <c r="H170" s="1" t="s">
        <v>156</v>
      </c>
      <c r="I170" s="13" t="s">
        <v>71</v>
      </c>
      <c r="J170" s="116">
        <f>J171</f>
        <v>39035.279999999999</v>
      </c>
      <c r="K170" s="116">
        <f t="shared" si="93"/>
        <v>40596.400000000001</v>
      </c>
      <c r="L170" s="116">
        <f t="shared" si="93"/>
        <v>42220.25</v>
      </c>
      <c r="M170" s="116">
        <f t="shared" si="93"/>
        <v>0</v>
      </c>
      <c r="N170" s="116">
        <f t="shared" si="93"/>
        <v>0</v>
      </c>
      <c r="O170" s="116">
        <f t="shared" si="93"/>
        <v>0</v>
      </c>
      <c r="P170" s="116">
        <f t="shared" si="80"/>
        <v>39035.279999999999</v>
      </c>
      <c r="Q170" s="116">
        <f t="shared" si="81"/>
        <v>40596.400000000001</v>
      </c>
      <c r="R170" s="116">
        <f t="shared" si="82"/>
        <v>42220.25</v>
      </c>
    </row>
    <row r="171" spans="1:18" s="88" customFormat="1">
      <c r="A171" s="11" t="s">
        <v>75</v>
      </c>
      <c r="B171" s="66" t="s">
        <v>41</v>
      </c>
      <c r="C171" s="1" t="s">
        <v>2</v>
      </c>
      <c r="D171" s="1" t="s">
        <v>17</v>
      </c>
      <c r="E171" s="1" t="s">
        <v>20</v>
      </c>
      <c r="F171" s="1" t="s">
        <v>134</v>
      </c>
      <c r="G171" s="1" t="s">
        <v>148</v>
      </c>
      <c r="H171" s="1" t="s">
        <v>156</v>
      </c>
      <c r="I171" s="13" t="s">
        <v>74</v>
      </c>
      <c r="J171" s="116">
        <v>39035.279999999999</v>
      </c>
      <c r="K171" s="116">
        <v>40596.400000000001</v>
      </c>
      <c r="L171" s="116">
        <v>42220.25</v>
      </c>
      <c r="M171" s="116"/>
      <c r="N171" s="116"/>
      <c r="O171" s="116"/>
      <c r="P171" s="116">
        <f t="shared" si="80"/>
        <v>39035.279999999999</v>
      </c>
      <c r="Q171" s="116">
        <f t="shared" si="81"/>
        <v>40596.400000000001</v>
      </c>
      <c r="R171" s="116">
        <f t="shared" si="82"/>
        <v>42220.25</v>
      </c>
    </row>
    <row r="172" spans="1:18" s="88" customFormat="1" ht="38.25">
      <c r="A172" s="11" t="s">
        <v>237</v>
      </c>
      <c r="B172" s="66" t="s">
        <v>41</v>
      </c>
      <c r="C172" s="1" t="s">
        <v>2</v>
      </c>
      <c r="D172" s="1" t="s">
        <v>17</v>
      </c>
      <c r="E172" s="1" t="s">
        <v>20</v>
      </c>
      <c r="F172" s="1" t="s">
        <v>134</v>
      </c>
      <c r="G172" s="1" t="s">
        <v>148</v>
      </c>
      <c r="H172" s="1" t="s">
        <v>236</v>
      </c>
      <c r="I172" s="13"/>
      <c r="J172" s="116">
        <f>J173</f>
        <v>12898435</v>
      </c>
      <c r="K172" s="116">
        <f t="shared" ref="K172:O173" si="94">K173</f>
        <v>12735130</v>
      </c>
      <c r="L172" s="116">
        <f t="shared" si="94"/>
        <v>12735130</v>
      </c>
      <c r="M172" s="116">
        <f t="shared" si="94"/>
        <v>0</v>
      </c>
      <c r="N172" s="116">
        <f t="shared" si="94"/>
        <v>0</v>
      </c>
      <c r="O172" s="116">
        <f t="shared" si="94"/>
        <v>0</v>
      </c>
      <c r="P172" s="116">
        <f t="shared" si="80"/>
        <v>12898435</v>
      </c>
      <c r="Q172" s="116">
        <f t="shared" si="81"/>
        <v>12735130</v>
      </c>
      <c r="R172" s="116">
        <f t="shared" si="82"/>
        <v>12735130</v>
      </c>
    </row>
    <row r="173" spans="1:18" s="88" customFormat="1" ht="25.5">
      <c r="A173" s="7" t="s">
        <v>72</v>
      </c>
      <c r="B173" s="66" t="s">
        <v>41</v>
      </c>
      <c r="C173" s="1" t="s">
        <v>2</v>
      </c>
      <c r="D173" s="1" t="s">
        <v>17</v>
      </c>
      <c r="E173" s="1" t="s">
        <v>20</v>
      </c>
      <c r="F173" s="1" t="s">
        <v>134</v>
      </c>
      <c r="G173" s="1" t="s">
        <v>148</v>
      </c>
      <c r="H173" s="1" t="s">
        <v>236</v>
      </c>
      <c r="I173" s="13" t="s">
        <v>71</v>
      </c>
      <c r="J173" s="116">
        <f>J174</f>
        <v>12898435</v>
      </c>
      <c r="K173" s="116">
        <f t="shared" si="94"/>
        <v>12735130</v>
      </c>
      <c r="L173" s="116">
        <f t="shared" si="94"/>
        <v>12735130</v>
      </c>
      <c r="M173" s="116">
        <f t="shared" si="94"/>
        <v>0</v>
      </c>
      <c r="N173" s="116">
        <f t="shared" si="94"/>
        <v>0</v>
      </c>
      <c r="O173" s="116">
        <f t="shared" si="94"/>
        <v>0</v>
      </c>
      <c r="P173" s="116">
        <f t="shared" si="80"/>
        <v>12898435</v>
      </c>
      <c r="Q173" s="116">
        <f t="shared" si="81"/>
        <v>12735130</v>
      </c>
      <c r="R173" s="116">
        <f t="shared" si="82"/>
        <v>12735130</v>
      </c>
    </row>
    <row r="174" spans="1:18">
      <c r="A174" s="11" t="s">
        <v>75</v>
      </c>
      <c r="B174" s="66" t="s">
        <v>41</v>
      </c>
      <c r="C174" s="1" t="s">
        <v>2</v>
      </c>
      <c r="D174" s="1" t="s">
        <v>17</v>
      </c>
      <c r="E174" s="1" t="s">
        <v>20</v>
      </c>
      <c r="F174" s="1" t="s">
        <v>134</v>
      </c>
      <c r="G174" s="1" t="s">
        <v>148</v>
      </c>
      <c r="H174" s="1" t="s">
        <v>236</v>
      </c>
      <c r="I174" s="13" t="s">
        <v>74</v>
      </c>
      <c r="J174" s="116">
        <v>12898435</v>
      </c>
      <c r="K174" s="116">
        <v>12735130</v>
      </c>
      <c r="L174" s="116">
        <v>12735130</v>
      </c>
      <c r="M174" s="116"/>
      <c r="N174" s="116"/>
      <c r="O174" s="116"/>
      <c r="P174" s="116">
        <f t="shared" si="80"/>
        <v>12898435</v>
      </c>
      <c r="Q174" s="116">
        <f t="shared" si="81"/>
        <v>12735130</v>
      </c>
      <c r="R174" s="116">
        <f t="shared" si="82"/>
        <v>12735130</v>
      </c>
    </row>
    <row r="175" spans="1:18" ht="63.75">
      <c r="A175" s="11" t="s">
        <v>313</v>
      </c>
      <c r="B175" s="66" t="s">
        <v>41</v>
      </c>
      <c r="C175" s="1" t="s">
        <v>2</v>
      </c>
      <c r="D175" s="1" t="s">
        <v>17</v>
      </c>
      <c r="E175" s="1" t="s">
        <v>20</v>
      </c>
      <c r="F175" s="1" t="s">
        <v>134</v>
      </c>
      <c r="G175" s="66" t="s">
        <v>148</v>
      </c>
      <c r="H175" s="60" t="s">
        <v>206</v>
      </c>
      <c r="I175" s="95"/>
      <c r="J175" s="116">
        <f>J176</f>
        <v>9439451.1999999993</v>
      </c>
      <c r="K175" s="116">
        <f t="shared" ref="K175:O176" si="95">K176</f>
        <v>9817028.3699999992</v>
      </c>
      <c r="L175" s="116">
        <f t="shared" si="95"/>
        <v>11141166.16</v>
      </c>
      <c r="M175" s="116">
        <f t="shared" si="95"/>
        <v>-1071950.78</v>
      </c>
      <c r="N175" s="116">
        <f t="shared" si="95"/>
        <v>-797028.37</v>
      </c>
      <c r="O175" s="116">
        <f t="shared" si="95"/>
        <v>-678629.68</v>
      </c>
      <c r="P175" s="116">
        <f t="shared" si="80"/>
        <v>8367500.419999999</v>
      </c>
      <c r="Q175" s="116">
        <f t="shared" si="81"/>
        <v>9020000</v>
      </c>
      <c r="R175" s="116">
        <f t="shared" si="82"/>
        <v>10462536.48</v>
      </c>
    </row>
    <row r="176" spans="1:18" ht="25.5">
      <c r="A176" s="7" t="s">
        <v>72</v>
      </c>
      <c r="B176" s="66" t="s">
        <v>41</v>
      </c>
      <c r="C176" s="1" t="s">
        <v>2</v>
      </c>
      <c r="D176" s="1" t="s">
        <v>17</v>
      </c>
      <c r="E176" s="1" t="s">
        <v>20</v>
      </c>
      <c r="F176" s="1" t="s">
        <v>134</v>
      </c>
      <c r="G176" s="66" t="s">
        <v>148</v>
      </c>
      <c r="H176" s="60" t="s">
        <v>206</v>
      </c>
      <c r="I176" s="129" t="s">
        <v>71</v>
      </c>
      <c r="J176" s="116">
        <f>J177</f>
        <v>9439451.1999999993</v>
      </c>
      <c r="K176" s="116">
        <f t="shared" si="95"/>
        <v>9817028.3699999992</v>
      </c>
      <c r="L176" s="116">
        <f t="shared" si="95"/>
        <v>11141166.16</v>
      </c>
      <c r="M176" s="116">
        <f t="shared" si="95"/>
        <v>-1071950.78</v>
      </c>
      <c r="N176" s="116">
        <f t="shared" si="95"/>
        <v>-797028.37</v>
      </c>
      <c r="O176" s="116">
        <f t="shared" si="95"/>
        <v>-678629.68</v>
      </c>
      <c r="P176" s="116">
        <f t="shared" si="80"/>
        <v>8367500.419999999</v>
      </c>
      <c r="Q176" s="116">
        <f t="shared" si="81"/>
        <v>9020000</v>
      </c>
      <c r="R176" s="116">
        <f t="shared" si="82"/>
        <v>10462536.48</v>
      </c>
    </row>
    <row r="177" spans="1:18" s="88" customFormat="1">
      <c r="A177" s="11" t="s">
        <v>75</v>
      </c>
      <c r="B177" s="66" t="s">
        <v>41</v>
      </c>
      <c r="C177" s="1" t="s">
        <v>2</v>
      </c>
      <c r="D177" s="1" t="s">
        <v>17</v>
      </c>
      <c r="E177" s="1" t="s">
        <v>20</v>
      </c>
      <c r="F177" s="1" t="s">
        <v>134</v>
      </c>
      <c r="G177" s="66" t="s">
        <v>148</v>
      </c>
      <c r="H177" s="60" t="s">
        <v>206</v>
      </c>
      <c r="I177" s="129" t="s">
        <v>74</v>
      </c>
      <c r="J177" s="116">
        <v>9439451.1999999993</v>
      </c>
      <c r="K177" s="116">
        <v>9817028.3699999992</v>
      </c>
      <c r="L177" s="116">
        <v>11141166.16</v>
      </c>
      <c r="M177" s="116">
        <v>-1071950.78</v>
      </c>
      <c r="N177" s="116">
        <v>-797028.37</v>
      </c>
      <c r="O177" s="116">
        <v>-678629.68</v>
      </c>
      <c r="P177" s="116">
        <f t="shared" si="80"/>
        <v>8367500.419999999</v>
      </c>
      <c r="Q177" s="116">
        <f t="shared" si="81"/>
        <v>9020000</v>
      </c>
      <c r="R177" s="116">
        <f t="shared" si="82"/>
        <v>10462536.48</v>
      </c>
    </row>
    <row r="178" spans="1:18" s="88" customFormat="1" ht="25.5">
      <c r="A178" s="7" t="s">
        <v>394</v>
      </c>
      <c r="B178" s="66" t="s">
        <v>41</v>
      </c>
      <c r="C178" s="1" t="s">
        <v>2</v>
      </c>
      <c r="D178" s="1" t="s">
        <v>17</v>
      </c>
      <c r="E178" s="1" t="s">
        <v>20</v>
      </c>
      <c r="F178" s="1" t="s">
        <v>134</v>
      </c>
      <c r="G178" s="1" t="s">
        <v>148</v>
      </c>
      <c r="H178" s="1" t="s">
        <v>243</v>
      </c>
      <c r="I178" s="13"/>
      <c r="J178" s="116">
        <f>J179</f>
        <v>164706721</v>
      </c>
      <c r="K178" s="116">
        <f t="shared" ref="K178:O179" si="96">K179</f>
        <v>157297771</v>
      </c>
      <c r="L178" s="116">
        <f t="shared" si="96"/>
        <v>162917253</v>
      </c>
      <c r="M178" s="116">
        <f t="shared" si="96"/>
        <v>0</v>
      </c>
      <c r="N178" s="116">
        <f t="shared" si="96"/>
        <v>0</v>
      </c>
      <c r="O178" s="116">
        <f t="shared" si="96"/>
        <v>0</v>
      </c>
      <c r="P178" s="116">
        <f t="shared" si="80"/>
        <v>164706721</v>
      </c>
      <c r="Q178" s="116">
        <f t="shared" si="81"/>
        <v>157297771</v>
      </c>
      <c r="R178" s="116">
        <f t="shared" si="82"/>
        <v>162917253</v>
      </c>
    </row>
    <row r="179" spans="1:18" s="88" customFormat="1" ht="25.5">
      <c r="A179" s="7" t="s">
        <v>72</v>
      </c>
      <c r="B179" s="66" t="s">
        <v>41</v>
      </c>
      <c r="C179" s="1" t="s">
        <v>2</v>
      </c>
      <c r="D179" s="1" t="s">
        <v>17</v>
      </c>
      <c r="E179" s="1" t="s">
        <v>20</v>
      </c>
      <c r="F179" s="1" t="s">
        <v>134</v>
      </c>
      <c r="G179" s="1" t="s">
        <v>148</v>
      </c>
      <c r="H179" s="1" t="s">
        <v>243</v>
      </c>
      <c r="I179" s="13" t="s">
        <v>71</v>
      </c>
      <c r="J179" s="116">
        <f>J180</f>
        <v>164706721</v>
      </c>
      <c r="K179" s="116">
        <f t="shared" si="96"/>
        <v>157297771</v>
      </c>
      <c r="L179" s="116">
        <f t="shared" si="96"/>
        <v>162917253</v>
      </c>
      <c r="M179" s="116">
        <f t="shared" si="96"/>
        <v>0</v>
      </c>
      <c r="N179" s="116">
        <f t="shared" si="96"/>
        <v>0</v>
      </c>
      <c r="O179" s="116">
        <f t="shared" si="96"/>
        <v>0</v>
      </c>
      <c r="P179" s="116">
        <f t="shared" si="80"/>
        <v>164706721</v>
      </c>
      <c r="Q179" s="116">
        <f t="shared" si="81"/>
        <v>157297771</v>
      </c>
      <c r="R179" s="116">
        <f t="shared" si="82"/>
        <v>162917253</v>
      </c>
    </row>
    <row r="180" spans="1:18" s="88" customFormat="1">
      <c r="A180" s="11" t="s">
        <v>75</v>
      </c>
      <c r="B180" s="66" t="s">
        <v>41</v>
      </c>
      <c r="C180" s="1" t="s">
        <v>2</v>
      </c>
      <c r="D180" s="1" t="s">
        <v>17</v>
      </c>
      <c r="E180" s="1" t="s">
        <v>20</v>
      </c>
      <c r="F180" s="1" t="s">
        <v>134</v>
      </c>
      <c r="G180" s="1" t="s">
        <v>148</v>
      </c>
      <c r="H180" s="1" t="s">
        <v>243</v>
      </c>
      <c r="I180" s="13" t="s">
        <v>74</v>
      </c>
      <c r="J180" s="116">
        <v>164706721</v>
      </c>
      <c r="K180" s="116">
        <v>157297771</v>
      </c>
      <c r="L180" s="116">
        <v>162917253</v>
      </c>
      <c r="M180" s="116"/>
      <c r="N180" s="116"/>
      <c r="O180" s="116"/>
      <c r="P180" s="116">
        <f t="shared" si="80"/>
        <v>164706721</v>
      </c>
      <c r="Q180" s="116">
        <f t="shared" si="81"/>
        <v>157297771</v>
      </c>
      <c r="R180" s="116">
        <f t="shared" si="82"/>
        <v>162917253</v>
      </c>
    </row>
    <row r="181" spans="1:18" s="88" customFormat="1" ht="51">
      <c r="A181" s="11" t="s">
        <v>301</v>
      </c>
      <c r="B181" s="66" t="s">
        <v>41</v>
      </c>
      <c r="C181" s="1" t="s">
        <v>2</v>
      </c>
      <c r="D181" s="1" t="s">
        <v>17</v>
      </c>
      <c r="E181" s="1" t="s">
        <v>20</v>
      </c>
      <c r="F181" s="1" t="s">
        <v>134</v>
      </c>
      <c r="G181" s="1" t="s">
        <v>148</v>
      </c>
      <c r="H181" s="1" t="s">
        <v>254</v>
      </c>
      <c r="I181" s="13"/>
      <c r="J181" s="116">
        <f>J182</f>
        <v>235092</v>
      </c>
      <c r="K181" s="116">
        <f t="shared" ref="K181:O182" si="97">K182</f>
        <v>235092</v>
      </c>
      <c r="L181" s="116">
        <f t="shared" si="97"/>
        <v>235092</v>
      </c>
      <c r="M181" s="116">
        <f t="shared" si="97"/>
        <v>0</v>
      </c>
      <c r="N181" s="116">
        <f t="shared" si="97"/>
        <v>0</v>
      </c>
      <c r="O181" s="116">
        <f t="shared" si="97"/>
        <v>0</v>
      </c>
      <c r="P181" s="116">
        <f t="shared" si="80"/>
        <v>235092</v>
      </c>
      <c r="Q181" s="116">
        <f t="shared" si="81"/>
        <v>235092</v>
      </c>
      <c r="R181" s="116">
        <f t="shared" si="82"/>
        <v>235092</v>
      </c>
    </row>
    <row r="182" spans="1:18" s="88" customFormat="1" ht="25.5">
      <c r="A182" s="7" t="s">
        <v>72</v>
      </c>
      <c r="B182" s="66" t="s">
        <v>41</v>
      </c>
      <c r="C182" s="1" t="s">
        <v>2</v>
      </c>
      <c r="D182" s="1" t="s">
        <v>17</v>
      </c>
      <c r="E182" s="1" t="s">
        <v>20</v>
      </c>
      <c r="F182" s="1" t="s">
        <v>134</v>
      </c>
      <c r="G182" s="1" t="s">
        <v>148</v>
      </c>
      <c r="H182" s="1" t="s">
        <v>254</v>
      </c>
      <c r="I182" s="13" t="s">
        <v>71</v>
      </c>
      <c r="J182" s="116">
        <f>J183</f>
        <v>235092</v>
      </c>
      <c r="K182" s="116">
        <f t="shared" si="97"/>
        <v>235092</v>
      </c>
      <c r="L182" s="116">
        <f t="shared" si="97"/>
        <v>235092</v>
      </c>
      <c r="M182" s="116">
        <f t="shared" si="97"/>
        <v>0</v>
      </c>
      <c r="N182" s="116">
        <f t="shared" si="97"/>
        <v>0</v>
      </c>
      <c r="O182" s="116">
        <f t="shared" si="97"/>
        <v>0</v>
      </c>
      <c r="P182" s="116">
        <f t="shared" si="80"/>
        <v>235092</v>
      </c>
      <c r="Q182" s="116">
        <f t="shared" si="81"/>
        <v>235092</v>
      </c>
      <c r="R182" s="116">
        <f t="shared" si="82"/>
        <v>235092</v>
      </c>
    </row>
    <row r="183" spans="1:18" s="88" customFormat="1">
      <c r="A183" s="11" t="s">
        <v>75</v>
      </c>
      <c r="B183" s="66" t="s">
        <v>41</v>
      </c>
      <c r="C183" s="1" t="s">
        <v>2</v>
      </c>
      <c r="D183" s="1" t="s">
        <v>17</v>
      </c>
      <c r="E183" s="1" t="s">
        <v>20</v>
      </c>
      <c r="F183" s="1" t="s">
        <v>134</v>
      </c>
      <c r="G183" s="1" t="s">
        <v>148</v>
      </c>
      <c r="H183" s="1" t="s">
        <v>254</v>
      </c>
      <c r="I183" s="13" t="s">
        <v>74</v>
      </c>
      <c r="J183" s="116">
        <v>235092</v>
      </c>
      <c r="K183" s="116">
        <v>235092</v>
      </c>
      <c r="L183" s="116">
        <v>235092</v>
      </c>
      <c r="M183" s="116"/>
      <c r="N183" s="116"/>
      <c r="O183" s="116"/>
      <c r="P183" s="116">
        <f t="shared" si="80"/>
        <v>235092</v>
      </c>
      <c r="Q183" s="116">
        <f t="shared" si="81"/>
        <v>235092</v>
      </c>
      <c r="R183" s="116">
        <f t="shared" si="82"/>
        <v>235092</v>
      </c>
    </row>
    <row r="184" spans="1:18" s="88" customFormat="1" ht="25.5">
      <c r="A184" s="2" t="s">
        <v>141</v>
      </c>
      <c r="B184" s="66" t="s">
        <v>41</v>
      </c>
      <c r="C184" s="1" t="s">
        <v>2</v>
      </c>
      <c r="D184" s="1" t="s">
        <v>17</v>
      </c>
      <c r="E184" s="1" t="s">
        <v>20</v>
      </c>
      <c r="F184" s="1" t="s">
        <v>44</v>
      </c>
      <c r="G184" s="1" t="s">
        <v>148</v>
      </c>
      <c r="H184" s="1" t="s">
        <v>149</v>
      </c>
      <c r="I184" s="13"/>
      <c r="J184" s="116">
        <f>J185</f>
        <v>400000</v>
      </c>
      <c r="K184" s="116">
        <f t="shared" ref="K184:O185" si="98">K185</f>
        <v>400000</v>
      </c>
      <c r="L184" s="116">
        <f t="shared" si="98"/>
        <v>400000</v>
      </c>
      <c r="M184" s="116">
        <f t="shared" si="98"/>
        <v>0</v>
      </c>
      <c r="N184" s="116">
        <f t="shared" si="98"/>
        <v>0</v>
      </c>
      <c r="O184" s="116">
        <f t="shared" si="98"/>
        <v>0</v>
      </c>
      <c r="P184" s="116">
        <f t="shared" si="80"/>
        <v>400000</v>
      </c>
      <c r="Q184" s="116">
        <f t="shared" si="81"/>
        <v>400000</v>
      </c>
      <c r="R184" s="116">
        <f t="shared" si="82"/>
        <v>400000</v>
      </c>
    </row>
    <row r="185" spans="1:18" s="88" customFormat="1">
      <c r="A185" s="2" t="s">
        <v>88</v>
      </c>
      <c r="B185" s="66" t="s">
        <v>41</v>
      </c>
      <c r="C185" s="1" t="s">
        <v>2</v>
      </c>
      <c r="D185" s="1" t="s">
        <v>17</v>
      </c>
      <c r="E185" s="1" t="s">
        <v>20</v>
      </c>
      <c r="F185" s="1" t="s">
        <v>44</v>
      </c>
      <c r="G185" s="1" t="s">
        <v>148</v>
      </c>
      <c r="H185" s="1" t="s">
        <v>162</v>
      </c>
      <c r="I185" s="13"/>
      <c r="J185" s="116">
        <f>J186</f>
        <v>400000</v>
      </c>
      <c r="K185" s="116">
        <f t="shared" si="98"/>
        <v>400000</v>
      </c>
      <c r="L185" s="116">
        <f t="shared" si="98"/>
        <v>400000</v>
      </c>
      <c r="M185" s="116">
        <f t="shared" si="98"/>
        <v>0</v>
      </c>
      <c r="N185" s="116">
        <f t="shared" si="98"/>
        <v>0</v>
      </c>
      <c r="O185" s="116">
        <f t="shared" si="98"/>
        <v>0</v>
      </c>
      <c r="P185" s="116">
        <f t="shared" si="80"/>
        <v>400000</v>
      </c>
      <c r="Q185" s="116">
        <f t="shared" si="81"/>
        <v>400000</v>
      </c>
      <c r="R185" s="116">
        <f t="shared" si="82"/>
        <v>400000</v>
      </c>
    </row>
    <row r="186" spans="1:18" s="88" customFormat="1" ht="25.5">
      <c r="A186" s="7" t="s">
        <v>72</v>
      </c>
      <c r="B186" s="66" t="s">
        <v>41</v>
      </c>
      <c r="C186" s="1" t="s">
        <v>2</v>
      </c>
      <c r="D186" s="1" t="s">
        <v>17</v>
      </c>
      <c r="E186" s="1" t="s">
        <v>20</v>
      </c>
      <c r="F186" s="1" t="s">
        <v>44</v>
      </c>
      <c r="G186" s="1" t="s">
        <v>148</v>
      </c>
      <c r="H186" s="1" t="s">
        <v>162</v>
      </c>
      <c r="I186" s="13" t="s">
        <v>71</v>
      </c>
      <c r="J186" s="116">
        <f t="shared" ref="J186:O186" si="99">J187</f>
        <v>400000</v>
      </c>
      <c r="K186" s="116">
        <f t="shared" si="99"/>
        <v>400000</v>
      </c>
      <c r="L186" s="116">
        <f t="shared" si="99"/>
        <v>400000</v>
      </c>
      <c r="M186" s="116">
        <f t="shared" si="99"/>
        <v>0</v>
      </c>
      <c r="N186" s="116">
        <f t="shared" si="99"/>
        <v>0</v>
      </c>
      <c r="O186" s="116">
        <f t="shared" si="99"/>
        <v>0</v>
      </c>
      <c r="P186" s="116">
        <f t="shared" si="80"/>
        <v>400000</v>
      </c>
      <c r="Q186" s="116">
        <f t="shared" si="81"/>
        <v>400000</v>
      </c>
      <c r="R186" s="116">
        <f t="shared" si="82"/>
        <v>400000</v>
      </c>
    </row>
    <row r="187" spans="1:18" s="88" customFormat="1">
      <c r="A187" s="11" t="s">
        <v>75</v>
      </c>
      <c r="B187" s="66" t="s">
        <v>41</v>
      </c>
      <c r="C187" s="1" t="s">
        <v>2</v>
      </c>
      <c r="D187" s="1" t="s">
        <v>17</v>
      </c>
      <c r="E187" s="1" t="s">
        <v>20</v>
      </c>
      <c r="F187" s="1" t="s">
        <v>44</v>
      </c>
      <c r="G187" s="1" t="s">
        <v>148</v>
      </c>
      <c r="H187" s="1" t="s">
        <v>162</v>
      </c>
      <c r="I187" s="13" t="s">
        <v>74</v>
      </c>
      <c r="J187" s="116">
        <v>400000</v>
      </c>
      <c r="K187" s="116">
        <v>400000</v>
      </c>
      <c r="L187" s="116">
        <v>400000</v>
      </c>
      <c r="M187" s="116"/>
      <c r="N187" s="116"/>
      <c r="O187" s="116"/>
      <c r="P187" s="116">
        <f t="shared" si="80"/>
        <v>400000</v>
      </c>
      <c r="Q187" s="116">
        <f t="shared" si="81"/>
        <v>400000</v>
      </c>
      <c r="R187" s="116">
        <f t="shared" si="82"/>
        <v>400000</v>
      </c>
    </row>
    <row r="188" spans="1:18" s="88" customFormat="1" ht="25.5">
      <c r="A188" s="2" t="s">
        <v>146</v>
      </c>
      <c r="B188" s="66" t="s">
        <v>41</v>
      </c>
      <c r="C188" s="1" t="s">
        <v>2</v>
      </c>
      <c r="D188" s="1" t="s">
        <v>17</v>
      </c>
      <c r="E188" s="1" t="s">
        <v>20</v>
      </c>
      <c r="F188" s="1" t="s">
        <v>114</v>
      </c>
      <c r="G188" s="1" t="s">
        <v>148</v>
      </c>
      <c r="H188" s="1" t="s">
        <v>149</v>
      </c>
      <c r="I188" s="13"/>
      <c r="J188" s="116">
        <f t="shared" ref="J188:O190" si="100">J189</f>
        <v>115000</v>
      </c>
      <c r="K188" s="116">
        <f t="shared" si="100"/>
        <v>115000</v>
      </c>
      <c r="L188" s="116">
        <f t="shared" si="100"/>
        <v>115000</v>
      </c>
      <c r="M188" s="116">
        <f t="shared" si="100"/>
        <v>0</v>
      </c>
      <c r="N188" s="116">
        <f t="shared" si="100"/>
        <v>0</v>
      </c>
      <c r="O188" s="116">
        <f t="shared" si="100"/>
        <v>0</v>
      </c>
      <c r="P188" s="116">
        <f t="shared" si="80"/>
        <v>115000</v>
      </c>
      <c r="Q188" s="116">
        <f t="shared" si="81"/>
        <v>115000</v>
      </c>
      <c r="R188" s="116">
        <f t="shared" si="82"/>
        <v>115000</v>
      </c>
    </row>
    <row r="189" spans="1:18" s="88" customFormat="1">
      <c r="A189" s="2" t="s">
        <v>88</v>
      </c>
      <c r="B189" s="66" t="s">
        <v>41</v>
      </c>
      <c r="C189" s="1" t="s">
        <v>2</v>
      </c>
      <c r="D189" s="1" t="s">
        <v>17</v>
      </c>
      <c r="E189" s="1" t="s">
        <v>20</v>
      </c>
      <c r="F189" s="1" t="s">
        <v>114</v>
      </c>
      <c r="G189" s="1" t="s">
        <v>148</v>
      </c>
      <c r="H189" s="1" t="s">
        <v>162</v>
      </c>
      <c r="I189" s="13"/>
      <c r="J189" s="116">
        <f t="shared" si="100"/>
        <v>115000</v>
      </c>
      <c r="K189" s="116">
        <f t="shared" si="100"/>
        <v>115000</v>
      </c>
      <c r="L189" s="116">
        <f t="shared" si="100"/>
        <v>115000</v>
      </c>
      <c r="M189" s="116">
        <f t="shared" si="100"/>
        <v>0</v>
      </c>
      <c r="N189" s="116">
        <f t="shared" si="100"/>
        <v>0</v>
      </c>
      <c r="O189" s="116">
        <f t="shared" si="100"/>
        <v>0</v>
      </c>
      <c r="P189" s="116">
        <f t="shared" si="80"/>
        <v>115000</v>
      </c>
      <c r="Q189" s="116">
        <f t="shared" si="81"/>
        <v>115000</v>
      </c>
      <c r="R189" s="116">
        <f t="shared" si="82"/>
        <v>115000</v>
      </c>
    </row>
    <row r="190" spans="1:18" s="88" customFormat="1" ht="25.5">
      <c r="A190" s="7" t="s">
        <v>72</v>
      </c>
      <c r="B190" s="66" t="s">
        <v>41</v>
      </c>
      <c r="C190" s="1" t="s">
        <v>2</v>
      </c>
      <c r="D190" s="1" t="s">
        <v>17</v>
      </c>
      <c r="E190" s="1" t="s">
        <v>20</v>
      </c>
      <c r="F190" s="1" t="s">
        <v>114</v>
      </c>
      <c r="G190" s="1" t="s">
        <v>148</v>
      </c>
      <c r="H190" s="1" t="s">
        <v>162</v>
      </c>
      <c r="I190" s="13" t="s">
        <v>71</v>
      </c>
      <c r="J190" s="116">
        <f t="shared" si="100"/>
        <v>115000</v>
      </c>
      <c r="K190" s="116">
        <f t="shared" si="100"/>
        <v>115000</v>
      </c>
      <c r="L190" s="116">
        <f t="shared" si="100"/>
        <v>115000</v>
      </c>
      <c r="M190" s="116">
        <f t="shared" si="100"/>
        <v>0</v>
      </c>
      <c r="N190" s="116">
        <f t="shared" si="100"/>
        <v>0</v>
      </c>
      <c r="O190" s="116">
        <f t="shared" si="100"/>
        <v>0</v>
      </c>
      <c r="P190" s="116">
        <f t="shared" si="80"/>
        <v>115000</v>
      </c>
      <c r="Q190" s="116">
        <f t="shared" si="81"/>
        <v>115000</v>
      </c>
      <c r="R190" s="116">
        <f t="shared" si="82"/>
        <v>115000</v>
      </c>
    </row>
    <row r="191" spans="1:18">
      <c r="A191" s="11" t="s">
        <v>75</v>
      </c>
      <c r="B191" s="66" t="s">
        <v>41</v>
      </c>
      <c r="C191" s="1" t="s">
        <v>2</v>
      </c>
      <c r="D191" s="1" t="s">
        <v>17</v>
      </c>
      <c r="E191" s="1" t="s">
        <v>20</v>
      </c>
      <c r="F191" s="1" t="s">
        <v>114</v>
      </c>
      <c r="G191" s="1" t="s">
        <v>148</v>
      </c>
      <c r="H191" s="1" t="s">
        <v>162</v>
      </c>
      <c r="I191" s="13" t="s">
        <v>74</v>
      </c>
      <c r="J191" s="116">
        <v>115000</v>
      </c>
      <c r="K191" s="116">
        <v>115000</v>
      </c>
      <c r="L191" s="116">
        <v>115000</v>
      </c>
      <c r="M191" s="116"/>
      <c r="N191" s="116"/>
      <c r="O191" s="116"/>
      <c r="P191" s="116">
        <f t="shared" si="80"/>
        <v>115000</v>
      </c>
      <c r="Q191" s="116">
        <f t="shared" si="81"/>
        <v>115000</v>
      </c>
      <c r="R191" s="116">
        <f t="shared" si="82"/>
        <v>115000</v>
      </c>
    </row>
    <row r="192" spans="1:18">
      <c r="A192" s="7"/>
      <c r="B192" s="49"/>
      <c r="C192" s="1"/>
      <c r="D192" s="1"/>
      <c r="E192" s="1"/>
      <c r="F192" s="1"/>
      <c r="G192" s="1"/>
      <c r="H192" s="1"/>
      <c r="I192" s="13"/>
      <c r="J192" s="84"/>
      <c r="K192" s="84"/>
      <c r="L192" s="84"/>
      <c r="M192" s="84"/>
      <c r="N192" s="84"/>
      <c r="O192" s="84"/>
      <c r="P192" s="84"/>
      <c r="Q192" s="84"/>
      <c r="R192" s="84"/>
    </row>
    <row r="193" spans="1:18">
      <c r="A193" s="19" t="s">
        <v>203</v>
      </c>
      <c r="B193" s="128" t="s">
        <v>41</v>
      </c>
      <c r="C193" s="15" t="s">
        <v>2</v>
      </c>
      <c r="D193" s="15" t="s">
        <v>13</v>
      </c>
      <c r="E193" s="15"/>
      <c r="F193" s="15"/>
      <c r="G193" s="15"/>
      <c r="H193" s="15"/>
      <c r="I193" s="27"/>
      <c r="J193" s="112">
        <f>J194+J219</f>
        <v>25554433</v>
      </c>
      <c r="K193" s="112">
        <f t="shared" ref="K193:L193" si="101">K194+K219</f>
        <v>20437881.77</v>
      </c>
      <c r="L193" s="112">
        <f t="shared" si="101"/>
        <v>20896508.880000003</v>
      </c>
      <c r="M193" s="112">
        <f t="shared" ref="M193:O193" si="102">M194+M219</f>
        <v>0</v>
      </c>
      <c r="N193" s="112">
        <f t="shared" si="102"/>
        <v>0</v>
      </c>
      <c r="O193" s="112">
        <f t="shared" si="102"/>
        <v>0</v>
      </c>
      <c r="P193" s="112">
        <f t="shared" si="80"/>
        <v>25554433</v>
      </c>
      <c r="Q193" s="112">
        <f t="shared" si="81"/>
        <v>20437881.77</v>
      </c>
      <c r="R193" s="112">
        <f t="shared" si="82"/>
        <v>20896508.880000003</v>
      </c>
    </row>
    <row r="194" spans="1:18" s="88" customFormat="1" ht="25.5">
      <c r="A194" s="2" t="s">
        <v>285</v>
      </c>
      <c r="B194" s="66" t="s">
        <v>41</v>
      </c>
      <c r="C194" s="1" t="s">
        <v>2</v>
      </c>
      <c r="D194" s="1" t="s">
        <v>13</v>
      </c>
      <c r="E194" s="60" t="s">
        <v>20</v>
      </c>
      <c r="F194" s="60" t="s">
        <v>70</v>
      </c>
      <c r="G194" s="60" t="s">
        <v>148</v>
      </c>
      <c r="H194" s="60" t="s">
        <v>149</v>
      </c>
      <c r="I194" s="129"/>
      <c r="J194" s="84">
        <f>J195+J215</f>
        <v>20554433</v>
      </c>
      <c r="K194" s="84">
        <f t="shared" ref="K194:L194" si="103">K195+K215</f>
        <v>20437881.77</v>
      </c>
      <c r="L194" s="84">
        <f t="shared" si="103"/>
        <v>20896508.880000003</v>
      </c>
      <c r="M194" s="84">
        <f t="shared" ref="M194:O194" si="104">M195+M215</f>
        <v>0</v>
      </c>
      <c r="N194" s="84">
        <f t="shared" si="104"/>
        <v>0</v>
      </c>
      <c r="O194" s="84">
        <f t="shared" si="104"/>
        <v>0</v>
      </c>
      <c r="P194" s="84">
        <f t="shared" si="80"/>
        <v>20554433</v>
      </c>
      <c r="Q194" s="84">
        <f t="shared" si="81"/>
        <v>20437881.77</v>
      </c>
      <c r="R194" s="84">
        <f t="shared" si="82"/>
        <v>20896508.880000003</v>
      </c>
    </row>
    <row r="195" spans="1:18" s="88" customFormat="1" ht="25.5">
      <c r="A195" s="2" t="s">
        <v>144</v>
      </c>
      <c r="B195" s="66" t="s">
        <v>41</v>
      </c>
      <c r="C195" s="1" t="s">
        <v>2</v>
      </c>
      <c r="D195" s="1" t="s">
        <v>13</v>
      </c>
      <c r="E195" s="1" t="s">
        <v>20</v>
      </c>
      <c r="F195" s="1" t="s">
        <v>113</v>
      </c>
      <c r="G195" s="1" t="s">
        <v>148</v>
      </c>
      <c r="H195" s="1" t="s">
        <v>149</v>
      </c>
      <c r="I195" s="13"/>
      <c r="J195" s="116">
        <f>+J203+J206+J209+J212+J196</f>
        <v>20254433</v>
      </c>
      <c r="K195" s="116">
        <f t="shared" ref="K195:L195" si="105">+K203+K206+K209+K212+K196</f>
        <v>20137881.77</v>
      </c>
      <c r="L195" s="116">
        <f t="shared" si="105"/>
        <v>20596508.880000003</v>
      </c>
      <c r="M195" s="116">
        <f t="shared" ref="M195:O195" si="106">+M203+M206+M209+M212+M196</f>
        <v>0</v>
      </c>
      <c r="N195" s="116">
        <f t="shared" si="106"/>
        <v>0</v>
      </c>
      <c r="O195" s="116">
        <f t="shared" si="106"/>
        <v>0</v>
      </c>
      <c r="P195" s="116">
        <f t="shared" si="80"/>
        <v>20254433</v>
      </c>
      <c r="Q195" s="116">
        <f t="shared" si="81"/>
        <v>20137881.77</v>
      </c>
      <c r="R195" s="116">
        <f t="shared" si="82"/>
        <v>20596508.880000003</v>
      </c>
    </row>
    <row r="196" spans="1:18" s="88" customFormat="1" ht="25.5">
      <c r="A196" s="2" t="s">
        <v>248</v>
      </c>
      <c r="B196" s="66" t="s">
        <v>41</v>
      </c>
      <c r="C196" s="1" t="s">
        <v>2</v>
      </c>
      <c r="D196" s="1" t="s">
        <v>13</v>
      </c>
      <c r="E196" s="1" t="s">
        <v>20</v>
      </c>
      <c r="F196" s="1" t="s">
        <v>113</v>
      </c>
      <c r="G196" s="1" t="s">
        <v>148</v>
      </c>
      <c r="H196" s="1" t="s">
        <v>245</v>
      </c>
      <c r="I196" s="13"/>
      <c r="J196" s="116">
        <f>J197+J201</f>
        <v>6550200</v>
      </c>
      <c r="K196" s="116">
        <f t="shared" ref="K196:L196" si="107">K197+K201</f>
        <v>6609480</v>
      </c>
      <c r="L196" s="116">
        <f t="shared" si="107"/>
        <v>6637350</v>
      </c>
      <c r="M196" s="116">
        <f t="shared" ref="M196:O196" si="108">M197+M201</f>
        <v>0</v>
      </c>
      <c r="N196" s="116">
        <f t="shared" si="108"/>
        <v>0</v>
      </c>
      <c r="O196" s="116">
        <f t="shared" si="108"/>
        <v>0</v>
      </c>
      <c r="P196" s="116">
        <f t="shared" si="80"/>
        <v>6550200</v>
      </c>
      <c r="Q196" s="116">
        <f t="shared" si="81"/>
        <v>6609480</v>
      </c>
      <c r="R196" s="116">
        <f t="shared" si="82"/>
        <v>6637350</v>
      </c>
    </row>
    <row r="197" spans="1:18" s="88" customFormat="1" ht="25.5">
      <c r="A197" s="7" t="s">
        <v>72</v>
      </c>
      <c r="B197" s="66" t="s">
        <v>41</v>
      </c>
      <c r="C197" s="1" t="s">
        <v>2</v>
      </c>
      <c r="D197" s="1" t="s">
        <v>13</v>
      </c>
      <c r="E197" s="1" t="s">
        <v>20</v>
      </c>
      <c r="F197" s="1" t="s">
        <v>113</v>
      </c>
      <c r="G197" s="1" t="s">
        <v>148</v>
      </c>
      <c r="H197" s="1" t="s">
        <v>245</v>
      </c>
      <c r="I197" s="13" t="s">
        <v>71</v>
      </c>
      <c r="J197" s="116">
        <f>J198+J199+J200</f>
        <v>6496537.6799999997</v>
      </c>
      <c r="K197" s="116">
        <f t="shared" ref="K197:L197" si="109">K198+K199+K200</f>
        <v>6555533</v>
      </c>
      <c r="L197" s="116">
        <f t="shared" si="109"/>
        <v>6583243</v>
      </c>
      <c r="M197" s="116">
        <f t="shared" ref="M197:O197" si="110">M198+M199+M200</f>
        <v>0</v>
      </c>
      <c r="N197" s="116">
        <f t="shared" si="110"/>
        <v>0</v>
      </c>
      <c r="O197" s="116">
        <f t="shared" si="110"/>
        <v>0</v>
      </c>
      <c r="P197" s="116">
        <f t="shared" si="80"/>
        <v>6496537.6799999997</v>
      </c>
      <c r="Q197" s="116">
        <f t="shared" si="81"/>
        <v>6555533</v>
      </c>
      <c r="R197" s="116">
        <f t="shared" si="82"/>
        <v>6583243</v>
      </c>
    </row>
    <row r="198" spans="1:18" s="88" customFormat="1">
      <c r="A198" s="11" t="s">
        <v>75</v>
      </c>
      <c r="B198" s="66" t="s">
        <v>41</v>
      </c>
      <c r="C198" s="1" t="s">
        <v>2</v>
      </c>
      <c r="D198" s="1" t="s">
        <v>13</v>
      </c>
      <c r="E198" s="1" t="s">
        <v>20</v>
      </c>
      <c r="F198" s="1" t="s">
        <v>113</v>
      </c>
      <c r="G198" s="1" t="s">
        <v>148</v>
      </c>
      <c r="H198" s="1" t="s">
        <v>245</v>
      </c>
      <c r="I198" s="13" t="s">
        <v>74</v>
      </c>
      <c r="J198" s="116">
        <f>6336337.68+53400</f>
        <v>6389737.6799999997</v>
      </c>
      <c r="K198" s="116">
        <v>6447633</v>
      </c>
      <c r="L198" s="116">
        <v>6474843</v>
      </c>
      <c r="M198" s="116"/>
      <c r="N198" s="116"/>
      <c r="O198" s="116"/>
      <c r="P198" s="116">
        <f t="shared" si="80"/>
        <v>6389737.6799999997</v>
      </c>
      <c r="Q198" s="116">
        <f t="shared" si="81"/>
        <v>6447633</v>
      </c>
      <c r="R198" s="116">
        <f t="shared" si="82"/>
        <v>6474843</v>
      </c>
    </row>
    <row r="199" spans="1:18" s="88" customFormat="1">
      <c r="A199" s="2" t="s">
        <v>249</v>
      </c>
      <c r="B199" s="66" t="s">
        <v>41</v>
      </c>
      <c r="C199" s="1" t="s">
        <v>2</v>
      </c>
      <c r="D199" s="1" t="s">
        <v>13</v>
      </c>
      <c r="E199" s="1" t="s">
        <v>20</v>
      </c>
      <c r="F199" s="1" t="s">
        <v>113</v>
      </c>
      <c r="G199" s="1" t="s">
        <v>148</v>
      </c>
      <c r="H199" s="1" t="s">
        <v>245</v>
      </c>
      <c r="I199" s="13" t="s">
        <v>246</v>
      </c>
      <c r="J199" s="116">
        <v>53400</v>
      </c>
      <c r="K199" s="116">
        <v>53950</v>
      </c>
      <c r="L199" s="116">
        <v>54200</v>
      </c>
      <c r="M199" s="116"/>
      <c r="N199" s="116"/>
      <c r="O199" s="116"/>
      <c r="P199" s="116">
        <f t="shared" si="80"/>
        <v>53400</v>
      </c>
      <c r="Q199" s="116">
        <f t="shared" si="81"/>
        <v>53950</v>
      </c>
      <c r="R199" s="116">
        <f t="shared" si="82"/>
        <v>54200</v>
      </c>
    </row>
    <row r="200" spans="1:18" s="88" customFormat="1" ht="25.5">
      <c r="A200" s="2" t="s">
        <v>250</v>
      </c>
      <c r="B200" s="66" t="s">
        <v>41</v>
      </c>
      <c r="C200" s="1" t="s">
        <v>2</v>
      </c>
      <c r="D200" s="1" t="s">
        <v>13</v>
      </c>
      <c r="E200" s="1" t="s">
        <v>20</v>
      </c>
      <c r="F200" s="1" t="s">
        <v>113</v>
      </c>
      <c r="G200" s="1" t="s">
        <v>148</v>
      </c>
      <c r="H200" s="1" t="s">
        <v>245</v>
      </c>
      <c r="I200" s="13" t="s">
        <v>247</v>
      </c>
      <c r="J200" s="116">
        <v>53400</v>
      </c>
      <c r="K200" s="116">
        <v>53950</v>
      </c>
      <c r="L200" s="116">
        <v>54200</v>
      </c>
      <c r="M200" s="116"/>
      <c r="N200" s="116"/>
      <c r="O200" s="116"/>
      <c r="P200" s="116">
        <f t="shared" si="80"/>
        <v>53400</v>
      </c>
      <c r="Q200" s="116">
        <f t="shared" si="81"/>
        <v>53950</v>
      </c>
      <c r="R200" s="116">
        <f t="shared" si="82"/>
        <v>54200</v>
      </c>
    </row>
    <row r="201" spans="1:18" s="88" customFormat="1">
      <c r="A201" s="2" t="s">
        <v>80</v>
      </c>
      <c r="B201" s="66" t="s">
        <v>41</v>
      </c>
      <c r="C201" s="1" t="s">
        <v>2</v>
      </c>
      <c r="D201" s="1" t="s">
        <v>13</v>
      </c>
      <c r="E201" s="1" t="s">
        <v>20</v>
      </c>
      <c r="F201" s="1" t="s">
        <v>113</v>
      </c>
      <c r="G201" s="1" t="s">
        <v>148</v>
      </c>
      <c r="H201" s="1" t="s">
        <v>245</v>
      </c>
      <c r="I201" s="13" t="s">
        <v>77</v>
      </c>
      <c r="J201" s="116">
        <f>J202</f>
        <v>53662.32</v>
      </c>
      <c r="K201" s="116">
        <f t="shared" ref="K201:O201" si="111">K202</f>
        <v>53947</v>
      </c>
      <c r="L201" s="116">
        <f t="shared" si="111"/>
        <v>54107</v>
      </c>
      <c r="M201" s="116">
        <f t="shared" si="111"/>
        <v>0</v>
      </c>
      <c r="N201" s="116">
        <f t="shared" si="111"/>
        <v>0</v>
      </c>
      <c r="O201" s="116">
        <f t="shared" si="111"/>
        <v>0</v>
      </c>
      <c r="P201" s="116">
        <f t="shared" si="80"/>
        <v>53662.32</v>
      </c>
      <c r="Q201" s="116">
        <f t="shared" si="81"/>
        <v>53947</v>
      </c>
      <c r="R201" s="116">
        <f t="shared" si="82"/>
        <v>54107</v>
      </c>
    </row>
    <row r="202" spans="1:18" s="88" customFormat="1" ht="38.25">
      <c r="A202" s="2" t="s">
        <v>251</v>
      </c>
      <c r="B202" s="66" t="s">
        <v>41</v>
      </c>
      <c r="C202" s="1" t="s">
        <v>2</v>
      </c>
      <c r="D202" s="1" t="s">
        <v>13</v>
      </c>
      <c r="E202" s="1" t="s">
        <v>20</v>
      </c>
      <c r="F202" s="1" t="s">
        <v>113</v>
      </c>
      <c r="G202" s="1" t="s">
        <v>148</v>
      </c>
      <c r="H202" s="1" t="s">
        <v>245</v>
      </c>
      <c r="I202" s="13" t="s">
        <v>78</v>
      </c>
      <c r="J202" s="116">
        <v>53662.32</v>
      </c>
      <c r="K202" s="116">
        <v>53947</v>
      </c>
      <c r="L202" s="116">
        <v>54107</v>
      </c>
      <c r="M202" s="116"/>
      <c r="N202" s="116"/>
      <c r="O202" s="116"/>
      <c r="P202" s="116">
        <f t="shared" si="80"/>
        <v>53662.32</v>
      </c>
      <c r="Q202" s="116">
        <f t="shared" si="81"/>
        <v>53947</v>
      </c>
      <c r="R202" s="116">
        <f t="shared" si="82"/>
        <v>54107</v>
      </c>
    </row>
    <row r="203" spans="1:18" s="88" customFormat="1" ht="25.5">
      <c r="A203" s="2" t="s">
        <v>145</v>
      </c>
      <c r="B203" s="66" t="s">
        <v>41</v>
      </c>
      <c r="C203" s="1" t="s">
        <v>2</v>
      </c>
      <c r="D203" s="1" t="s">
        <v>13</v>
      </c>
      <c r="E203" s="1" t="s">
        <v>20</v>
      </c>
      <c r="F203" s="1" t="s">
        <v>113</v>
      </c>
      <c r="G203" s="1" t="s">
        <v>148</v>
      </c>
      <c r="H203" s="1" t="s">
        <v>164</v>
      </c>
      <c r="I203" s="13"/>
      <c r="J203" s="116">
        <f>J204</f>
        <v>6526818</v>
      </c>
      <c r="K203" s="116">
        <f t="shared" ref="K203:O204" si="112">K204</f>
        <v>6662498.7699999996</v>
      </c>
      <c r="L203" s="116">
        <f t="shared" si="112"/>
        <v>6834240.8800000008</v>
      </c>
      <c r="M203" s="116">
        <f t="shared" si="112"/>
        <v>0</v>
      </c>
      <c r="N203" s="116">
        <f t="shared" si="112"/>
        <v>0</v>
      </c>
      <c r="O203" s="116">
        <f t="shared" si="112"/>
        <v>0</v>
      </c>
      <c r="P203" s="116">
        <f t="shared" si="80"/>
        <v>6526818</v>
      </c>
      <c r="Q203" s="116">
        <f t="shared" si="81"/>
        <v>6662498.7699999996</v>
      </c>
      <c r="R203" s="116">
        <f t="shared" si="82"/>
        <v>6834240.8800000008</v>
      </c>
    </row>
    <row r="204" spans="1:18" s="88" customFormat="1" ht="25.5">
      <c r="A204" s="7" t="s">
        <v>72</v>
      </c>
      <c r="B204" s="66" t="s">
        <v>41</v>
      </c>
      <c r="C204" s="1" t="s">
        <v>2</v>
      </c>
      <c r="D204" s="1" t="s">
        <v>13</v>
      </c>
      <c r="E204" s="1" t="s">
        <v>20</v>
      </c>
      <c r="F204" s="1" t="s">
        <v>113</v>
      </c>
      <c r="G204" s="1" t="s">
        <v>148</v>
      </c>
      <c r="H204" s="1" t="s">
        <v>164</v>
      </c>
      <c r="I204" s="13" t="s">
        <v>71</v>
      </c>
      <c r="J204" s="116">
        <f>J205</f>
        <v>6526818</v>
      </c>
      <c r="K204" s="116">
        <f t="shared" si="112"/>
        <v>6662498.7699999996</v>
      </c>
      <c r="L204" s="116">
        <f t="shared" si="112"/>
        <v>6834240.8800000008</v>
      </c>
      <c r="M204" s="116">
        <f t="shared" si="112"/>
        <v>0</v>
      </c>
      <c r="N204" s="116">
        <f t="shared" si="112"/>
        <v>0</v>
      </c>
      <c r="O204" s="116">
        <f t="shared" si="112"/>
        <v>0</v>
      </c>
      <c r="P204" s="116">
        <f t="shared" si="80"/>
        <v>6526818</v>
      </c>
      <c r="Q204" s="116">
        <f t="shared" si="81"/>
        <v>6662498.7699999996</v>
      </c>
      <c r="R204" s="116">
        <f t="shared" si="82"/>
        <v>6834240.8800000008</v>
      </c>
    </row>
    <row r="205" spans="1:18">
      <c r="A205" s="11" t="s">
        <v>75</v>
      </c>
      <c r="B205" s="66" t="s">
        <v>41</v>
      </c>
      <c r="C205" s="1" t="s">
        <v>2</v>
      </c>
      <c r="D205" s="1" t="s">
        <v>13</v>
      </c>
      <c r="E205" s="1" t="s">
        <v>20</v>
      </c>
      <c r="F205" s="1" t="s">
        <v>113</v>
      </c>
      <c r="G205" s="1" t="s">
        <v>148</v>
      </c>
      <c r="H205" s="1" t="s">
        <v>164</v>
      </c>
      <c r="I205" s="13" t="s">
        <v>74</v>
      </c>
      <c r="J205" s="116">
        <f>12912018-6550200+165000</f>
        <v>6526818</v>
      </c>
      <c r="K205" s="116">
        <f>13106978.77-6609480+165000</f>
        <v>6662498.7699999996</v>
      </c>
      <c r="L205" s="116">
        <f>13306590.88-6637350+165000</f>
        <v>6834240.8800000008</v>
      </c>
      <c r="M205" s="116"/>
      <c r="N205" s="116"/>
      <c r="O205" s="116"/>
      <c r="P205" s="116">
        <f t="shared" si="80"/>
        <v>6526818</v>
      </c>
      <c r="Q205" s="116">
        <f t="shared" si="81"/>
        <v>6662498.7699999996</v>
      </c>
      <c r="R205" s="116">
        <f t="shared" si="82"/>
        <v>6834240.8800000008</v>
      </c>
    </row>
    <row r="206" spans="1:18" ht="63.75">
      <c r="A206" s="11" t="s">
        <v>313</v>
      </c>
      <c r="B206" s="66" t="s">
        <v>41</v>
      </c>
      <c r="C206" s="1" t="s">
        <v>2</v>
      </c>
      <c r="D206" s="1" t="s">
        <v>13</v>
      </c>
      <c r="E206" s="1" t="s">
        <v>20</v>
      </c>
      <c r="F206" s="1" t="s">
        <v>113</v>
      </c>
      <c r="G206" s="66" t="s">
        <v>148</v>
      </c>
      <c r="H206" s="60" t="s">
        <v>206</v>
      </c>
      <c r="I206" s="95"/>
      <c r="J206" s="116">
        <f>J207</f>
        <v>133522</v>
      </c>
      <c r="K206" s="116">
        <f t="shared" ref="K206:O207" si="113">K207</f>
        <v>138863</v>
      </c>
      <c r="L206" s="116">
        <f t="shared" si="113"/>
        <v>157554</v>
      </c>
      <c r="M206" s="116">
        <f t="shared" si="113"/>
        <v>0</v>
      </c>
      <c r="N206" s="116">
        <f t="shared" si="113"/>
        <v>0</v>
      </c>
      <c r="O206" s="116">
        <f t="shared" si="113"/>
        <v>0</v>
      </c>
      <c r="P206" s="116">
        <f t="shared" si="80"/>
        <v>133522</v>
      </c>
      <c r="Q206" s="116">
        <f t="shared" si="81"/>
        <v>138863</v>
      </c>
      <c r="R206" s="116">
        <f t="shared" si="82"/>
        <v>157554</v>
      </c>
    </row>
    <row r="207" spans="1:18" ht="25.5">
      <c r="A207" s="7" t="s">
        <v>72</v>
      </c>
      <c r="B207" s="66" t="s">
        <v>41</v>
      </c>
      <c r="C207" s="1" t="s">
        <v>2</v>
      </c>
      <c r="D207" s="1" t="s">
        <v>13</v>
      </c>
      <c r="E207" s="1" t="s">
        <v>20</v>
      </c>
      <c r="F207" s="1" t="s">
        <v>113</v>
      </c>
      <c r="G207" s="66" t="s">
        <v>148</v>
      </c>
      <c r="H207" s="60" t="s">
        <v>206</v>
      </c>
      <c r="I207" s="129" t="s">
        <v>71</v>
      </c>
      <c r="J207" s="116">
        <f>J208</f>
        <v>133522</v>
      </c>
      <c r="K207" s="116">
        <f t="shared" si="113"/>
        <v>138863</v>
      </c>
      <c r="L207" s="116">
        <f t="shared" si="113"/>
        <v>157554</v>
      </c>
      <c r="M207" s="116">
        <f t="shared" si="113"/>
        <v>0</v>
      </c>
      <c r="N207" s="116">
        <f t="shared" si="113"/>
        <v>0</v>
      </c>
      <c r="O207" s="116">
        <f t="shared" si="113"/>
        <v>0</v>
      </c>
      <c r="P207" s="116">
        <f t="shared" si="80"/>
        <v>133522</v>
      </c>
      <c r="Q207" s="116">
        <f t="shared" si="81"/>
        <v>138863</v>
      </c>
      <c r="R207" s="116">
        <f t="shared" si="82"/>
        <v>157554</v>
      </c>
    </row>
    <row r="208" spans="1:18" s="88" customFormat="1">
      <c r="A208" s="11" t="s">
        <v>75</v>
      </c>
      <c r="B208" s="66" t="s">
        <v>41</v>
      </c>
      <c r="C208" s="1" t="s">
        <v>2</v>
      </c>
      <c r="D208" s="1" t="s">
        <v>13</v>
      </c>
      <c r="E208" s="1" t="s">
        <v>20</v>
      </c>
      <c r="F208" s="1" t="s">
        <v>113</v>
      </c>
      <c r="G208" s="66" t="s">
        <v>148</v>
      </c>
      <c r="H208" s="60" t="s">
        <v>206</v>
      </c>
      <c r="I208" s="129" t="s">
        <v>74</v>
      </c>
      <c r="J208" s="116">
        <v>133522</v>
      </c>
      <c r="K208" s="116">
        <v>138863</v>
      </c>
      <c r="L208" s="116">
        <v>157554</v>
      </c>
      <c r="M208" s="116"/>
      <c r="N208" s="116"/>
      <c r="O208" s="116"/>
      <c r="P208" s="116">
        <f t="shared" si="80"/>
        <v>133522</v>
      </c>
      <c r="Q208" s="116">
        <f t="shared" si="81"/>
        <v>138863</v>
      </c>
      <c r="R208" s="116">
        <f t="shared" si="82"/>
        <v>157554</v>
      </c>
    </row>
    <row r="209" spans="1:18" s="88" customFormat="1" ht="25.5">
      <c r="A209" s="7" t="s">
        <v>394</v>
      </c>
      <c r="B209" s="66" t="s">
        <v>41</v>
      </c>
      <c r="C209" s="1" t="s">
        <v>2</v>
      </c>
      <c r="D209" s="1" t="s">
        <v>13</v>
      </c>
      <c r="E209" s="1" t="s">
        <v>20</v>
      </c>
      <c r="F209" s="1" t="s">
        <v>113</v>
      </c>
      <c r="G209" s="1" t="s">
        <v>148</v>
      </c>
      <c r="H209" s="1" t="s">
        <v>243</v>
      </c>
      <c r="I209" s="13"/>
      <c r="J209" s="116">
        <f>J210</f>
        <v>4949039</v>
      </c>
      <c r="K209" s="116">
        <f t="shared" ref="K209:O210" si="114">K210</f>
        <v>4726418</v>
      </c>
      <c r="L209" s="116">
        <f t="shared" si="114"/>
        <v>4895270</v>
      </c>
      <c r="M209" s="116">
        <f t="shared" si="114"/>
        <v>0</v>
      </c>
      <c r="N209" s="116">
        <f t="shared" si="114"/>
        <v>0</v>
      </c>
      <c r="O209" s="116">
        <f t="shared" si="114"/>
        <v>0</v>
      </c>
      <c r="P209" s="116">
        <f t="shared" si="80"/>
        <v>4949039</v>
      </c>
      <c r="Q209" s="116">
        <f t="shared" si="81"/>
        <v>4726418</v>
      </c>
      <c r="R209" s="116">
        <f t="shared" si="82"/>
        <v>4895270</v>
      </c>
    </row>
    <row r="210" spans="1:18" s="88" customFormat="1" ht="25.5">
      <c r="A210" s="7" t="s">
        <v>72</v>
      </c>
      <c r="B210" s="66" t="s">
        <v>41</v>
      </c>
      <c r="C210" s="1" t="s">
        <v>2</v>
      </c>
      <c r="D210" s="1" t="s">
        <v>13</v>
      </c>
      <c r="E210" s="1" t="s">
        <v>20</v>
      </c>
      <c r="F210" s="1" t="s">
        <v>113</v>
      </c>
      <c r="G210" s="1" t="s">
        <v>148</v>
      </c>
      <c r="H210" s="1" t="s">
        <v>243</v>
      </c>
      <c r="I210" s="13" t="s">
        <v>71</v>
      </c>
      <c r="J210" s="116">
        <f>J211</f>
        <v>4949039</v>
      </c>
      <c r="K210" s="116">
        <f t="shared" si="114"/>
        <v>4726418</v>
      </c>
      <c r="L210" s="116">
        <f t="shared" si="114"/>
        <v>4895270</v>
      </c>
      <c r="M210" s="116">
        <f t="shared" si="114"/>
        <v>0</v>
      </c>
      <c r="N210" s="116">
        <f t="shared" si="114"/>
        <v>0</v>
      </c>
      <c r="O210" s="116">
        <f t="shared" si="114"/>
        <v>0</v>
      </c>
      <c r="P210" s="116">
        <f t="shared" si="80"/>
        <v>4949039</v>
      </c>
      <c r="Q210" s="116">
        <f t="shared" si="81"/>
        <v>4726418</v>
      </c>
      <c r="R210" s="116">
        <f t="shared" si="82"/>
        <v>4895270</v>
      </c>
    </row>
    <row r="211" spans="1:18" s="88" customFormat="1">
      <c r="A211" s="11" t="s">
        <v>75</v>
      </c>
      <c r="B211" s="66" t="s">
        <v>41</v>
      </c>
      <c r="C211" s="1" t="s">
        <v>2</v>
      </c>
      <c r="D211" s="1" t="s">
        <v>13</v>
      </c>
      <c r="E211" s="1" t="s">
        <v>20</v>
      </c>
      <c r="F211" s="1" t="s">
        <v>113</v>
      </c>
      <c r="G211" s="1" t="s">
        <v>148</v>
      </c>
      <c r="H211" s="1" t="s">
        <v>243</v>
      </c>
      <c r="I211" s="13" t="s">
        <v>74</v>
      </c>
      <c r="J211" s="116">
        <v>4949039</v>
      </c>
      <c r="K211" s="116">
        <v>4726418</v>
      </c>
      <c r="L211" s="116">
        <v>4895270</v>
      </c>
      <c r="M211" s="116"/>
      <c r="N211" s="116"/>
      <c r="O211" s="116"/>
      <c r="P211" s="116">
        <f t="shared" si="80"/>
        <v>4949039</v>
      </c>
      <c r="Q211" s="116">
        <f t="shared" si="81"/>
        <v>4726418</v>
      </c>
      <c r="R211" s="116">
        <f t="shared" si="82"/>
        <v>4895270</v>
      </c>
    </row>
    <row r="212" spans="1:18" s="88" customFormat="1" ht="25.5">
      <c r="A212" s="7" t="s">
        <v>395</v>
      </c>
      <c r="B212" s="66" t="s">
        <v>41</v>
      </c>
      <c r="C212" s="1" t="s">
        <v>2</v>
      </c>
      <c r="D212" s="1" t="s">
        <v>13</v>
      </c>
      <c r="E212" s="1" t="s">
        <v>20</v>
      </c>
      <c r="F212" s="1" t="s">
        <v>113</v>
      </c>
      <c r="G212" s="1" t="s">
        <v>148</v>
      </c>
      <c r="H212" s="1" t="s">
        <v>244</v>
      </c>
      <c r="I212" s="13"/>
      <c r="J212" s="116">
        <f>J213</f>
        <v>2094854</v>
      </c>
      <c r="K212" s="116">
        <f t="shared" ref="K212:O213" si="115">K213</f>
        <v>2000622</v>
      </c>
      <c r="L212" s="116">
        <f t="shared" si="115"/>
        <v>2072094</v>
      </c>
      <c r="M212" s="116">
        <f t="shared" si="115"/>
        <v>0</v>
      </c>
      <c r="N212" s="116">
        <f t="shared" si="115"/>
        <v>0</v>
      </c>
      <c r="O212" s="116">
        <f t="shared" si="115"/>
        <v>0</v>
      </c>
      <c r="P212" s="116">
        <f t="shared" si="80"/>
        <v>2094854</v>
      </c>
      <c r="Q212" s="116">
        <f t="shared" si="81"/>
        <v>2000622</v>
      </c>
      <c r="R212" s="116">
        <f t="shared" si="82"/>
        <v>2072094</v>
      </c>
    </row>
    <row r="213" spans="1:18" s="88" customFormat="1" ht="25.5">
      <c r="A213" s="7" t="s">
        <v>72</v>
      </c>
      <c r="B213" s="66" t="s">
        <v>41</v>
      </c>
      <c r="C213" s="1" t="s">
        <v>2</v>
      </c>
      <c r="D213" s="1" t="s">
        <v>13</v>
      </c>
      <c r="E213" s="1" t="s">
        <v>20</v>
      </c>
      <c r="F213" s="1" t="s">
        <v>113</v>
      </c>
      <c r="G213" s="1" t="s">
        <v>148</v>
      </c>
      <c r="H213" s="1" t="s">
        <v>244</v>
      </c>
      <c r="I213" s="13" t="s">
        <v>71</v>
      </c>
      <c r="J213" s="116">
        <f>J214</f>
        <v>2094854</v>
      </c>
      <c r="K213" s="116">
        <f t="shared" si="115"/>
        <v>2000622</v>
      </c>
      <c r="L213" s="116">
        <f t="shared" si="115"/>
        <v>2072094</v>
      </c>
      <c r="M213" s="116">
        <f t="shared" si="115"/>
        <v>0</v>
      </c>
      <c r="N213" s="116">
        <f t="shared" si="115"/>
        <v>0</v>
      </c>
      <c r="O213" s="116">
        <f t="shared" si="115"/>
        <v>0</v>
      </c>
      <c r="P213" s="116">
        <f t="shared" ref="P213:P279" si="116">J213+M213</f>
        <v>2094854</v>
      </c>
      <c r="Q213" s="116">
        <f t="shared" ref="Q213:Q279" si="117">K213+N213</f>
        <v>2000622</v>
      </c>
      <c r="R213" s="116">
        <f t="shared" ref="R213:R279" si="118">L213+O213</f>
        <v>2072094</v>
      </c>
    </row>
    <row r="214" spans="1:18" s="88" customFormat="1">
      <c r="A214" s="11" t="s">
        <v>75</v>
      </c>
      <c r="B214" s="66" t="s">
        <v>41</v>
      </c>
      <c r="C214" s="1" t="s">
        <v>2</v>
      </c>
      <c r="D214" s="1" t="s">
        <v>13</v>
      </c>
      <c r="E214" s="1" t="s">
        <v>20</v>
      </c>
      <c r="F214" s="1" t="s">
        <v>113</v>
      </c>
      <c r="G214" s="1" t="s">
        <v>148</v>
      </c>
      <c r="H214" s="1" t="s">
        <v>244</v>
      </c>
      <c r="I214" s="13" t="s">
        <v>74</v>
      </c>
      <c r="J214" s="116">
        <v>2094854</v>
      </c>
      <c r="K214" s="116">
        <v>2000622</v>
      </c>
      <c r="L214" s="116">
        <v>2072094</v>
      </c>
      <c r="M214" s="116"/>
      <c r="N214" s="116"/>
      <c r="O214" s="116"/>
      <c r="P214" s="116">
        <f t="shared" si="116"/>
        <v>2094854</v>
      </c>
      <c r="Q214" s="116">
        <f t="shared" si="117"/>
        <v>2000622</v>
      </c>
      <c r="R214" s="116">
        <f t="shared" si="118"/>
        <v>2072094</v>
      </c>
    </row>
    <row r="215" spans="1:18" s="88" customFormat="1" ht="25.5">
      <c r="A215" s="2" t="s">
        <v>141</v>
      </c>
      <c r="B215" s="66" t="s">
        <v>41</v>
      </c>
      <c r="C215" s="1" t="s">
        <v>2</v>
      </c>
      <c r="D215" s="1" t="s">
        <v>13</v>
      </c>
      <c r="E215" s="1" t="s">
        <v>20</v>
      </c>
      <c r="F215" s="1" t="s">
        <v>44</v>
      </c>
      <c r="G215" s="1" t="s">
        <v>148</v>
      </c>
      <c r="H215" s="1" t="s">
        <v>149</v>
      </c>
      <c r="I215" s="13"/>
      <c r="J215" s="116">
        <f t="shared" ref="J215:O217" si="119">J216</f>
        <v>300000</v>
      </c>
      <c r="K215" s="116">
        <f t="shared" si="119"/>
        <v>300000</v>
      </c>
      <c r="L215" s="116">
        <f t="shared" si="119"/>
        <v>300000</v>
      </c>
      <c r="M215" s="116">
        <f t="shared" si="119"/>
        <v>0</v>
      </c>
      <c r="N215" s="116">
        <f t="shared" si="119"/>
        <v>0</v>
      </c>
      <c r="O215" s="116">
        <f t="shared" si="119"/>
        <v>0</v>
      </c>
      <c r="P215" s="116">
        <f t="shared" si="116"/>
        <v>300000</v>
      </c>
      <c r="Q215" s="116">
        <f t="shared" si="117"/>
        <v>300000</v>
      </c>
      <c r="R215" s="116">
        <f t="shared" si="118"/>
        <v>300000</v>
      </c>
    </row>
    <row r="216" spans="1:18" s="88" customFormat="1">
      <c r="A216" s="2" t="s">
        <v>88</v>
      </c>
      <c r="B216" s="66" t="s">
        <v>41</v>
      </c>
      <c r="C216" s="1" t="s">
        <v>2</v>
      </c>
      <c r="D216" s="1" t="s">
        <v>13</v>
      </c>
      <c r="E216" s="1" t="s">
        <v>20</v>
      </c>
      <c r="F216" s="1" t="s">
        <v>44</v>
      </c>
      <c r="G216" s="1" t="s">
        <v>148</v>
      </c>
      <c r="H216" s="1" t="s">
        <v>162</v>
      </c>
      <c r="I216" s="13"/>
      <c r="J216" s="116">
        <f t="shared" si="119"/>
        <v>300000</v>
      </c>
      <c r="K216" s="116">
        <f t="shared" si="119"/>
        <v>300000</v>
      </c>
      <c r="L216" s="116">
        <f t="shared" si="119"/>
        <v>300000</v>
      </c>
      <c r="M216" s="116">
        <f t="shared" si="119"/>
        <v>0</v>
      </c>
      <c r="N216" s="116">
        <f t="shared" si="119"/>
        <v>0</v>
      </c>
      <c r="O216" s="116">
        <f t="shared" si="119"/>
        <v>0</v>
      </c>
      <c r="P216" s="116">
        <f t="shared" si="116"/>
        <v>300000</v>
      </c>
      <c r="Q216" s="116">
        <f t="shared" si="117"/>
        <v>300000</v>
      </c>
      <c r="R216" s="116">
        <f t="shared" si="118"/>
        <v>300000</v>
      </c>
    </row>
    <row r="217" spans="1:18" s="88" customFormat="1" ht="25.5">
      <c r="A217" s="7" t="s">
        <v>72</v>
      </c>
      <c r="B217" s="66" t="s">
        <v>41</v>
      </c>
      <c r="C217" s="1" t="s">
        <v>2</v>
      </c>
      <c r="D217" s="1" t="s">
        <v>13</v>
      </c>
      <c r="E217" s="1" t="s">
        <v>20</v>
      </c>
      <c r="F217" s="1" t="s">
        <v>44</v>
      </c>
      <c r="G217" s="1" t="s">
        <v>148</v>
      </c>
      <c r="H217" s="1" t="s">
        <v>162</v>
      </c>
      <c r="I217" s="13" t="s">
        <v>71</v>
      </c>
      <c r="J217" s="116">
        <f t="shared" si="119"/>
        <v>300000</v>
      </c>
      <c r="K217" s="116">
        <f t="shared" si="119"/>
        <v>300000</v>
      </c>
      <c r="L217" s="116">
        <f t="shared" si="119"/>
        <v>300000</v>
      </c>
      <c r="M217" s="116">
        <f t="shared" si="119"/>
        <v>0</v>
      </c>
      <c r="N217" s="116">
        <f t="shared" si="119"/>
        <v>0</v>
      </c>
      <c r="O217" s="116">
        <f t="shared" si="119"/>
        <v>0</v>
      </c>
      <c r="P217" s="116">
        <f t="shared" si="116"/>
        <v>300000</v>
      </c>
      <c r="Q217" s="116">
        <f t="shared" si="117"/>
        <v>300000</v>
      </c>
      <c r="R217" s="116">
        <f t="shared" si="118"/>
        <v>300000</v>
      </c>
    </row>
    <row r="218" spans="1:18" s="88" customFormat="1">
      <c r="A218" s="11" t="s">
        <v>75</v>
      </c>
      <c r="B218" s="66" t="s">
        <v>41</v>
      </c>
      <c r="C218" s="1" t="s">
        <v>2</v>
      </c>
      <c r="D218" s="1" t="s">
        <v>13</v>
      </c>
      <c r="E218" s="1" t="s">
        <v>20</v>
      </c>
      <c r="F218" s="1" t="s">
        <v>44</v>
      </c>
      <c r="G218" s="1" t="s">
        <v>148</v>
      </c>
      <c r="H218" s="1" t="s">
        <v>162</v>
      </c>
      <c r="I218" s="13" t="s">
        <v>74</v>
      </c>
      <c r="J218" s="116">
        <v>300000</v>
      </c>
      <c r="K218" s="116">
        <v>300000</v>
      </c>
      <c r="L218" s="116">
        <v>300000</v>
      </c>
      <c r="M218" s="116"/>
      <c r="N218" s="116"/>
      <c r="O218" s="116"/>
      <c r="P218" s="116">
        <f t="shared" si="116"/>
        <v>300000</v>
      </c>
      <c r="Q218" s="116">
        <f t="shared" si="117"/>
        <v>300000</v>
      </c>
      <c r="R218" s="116">
        <f t="shared" si="118"/>
        <v>300000</v>
      </c>
    </row>
    <row r="219" spans="1:18" s="51" customFormat="1" ht="38.25">
      <c r="A219" s="124" t="s">
        <v>286</v>
      </c>
      <c r="B219" s="66" t="s">
        <v>41</v>
      </c>
      <c r="C219" s="1" t="s">
        <v>2</v>
      </c>
      <c r="D219" s="1" t="s">
        <v>13</v>
      </c>
      <c r="E219" s="1" t="s">
        <v>3</v>
      </c>
      <c r="F219" s="1" t="s">
        <v>70</v>
      </c>
      <c r="G219" s="1" t="s">
        <v>148</v>
      </c>
      <c r="H219" s="1" t="s">
        <v>149</v>
      </c>
      <c r="I219" s="13"/>
      <c r="J219" s="116">
        <f t="shared" ref="J219:O221" si="120">J220</f>
        <v>5000000</v>
      </c>
      <c r="K219" s="116">
        <f t="shared" si="120"/>
        <v>0</v>
      </c>
      <c r="L219" s="116">
        <f t="shared" si="120"/>
        <v>0</v>
      </c>
      <c r="M219" s="116">
        <f t="shared" si="120"/>
        <v>0</v>
      </c>
      <c r="N219" s="116">
        <f t="shared" si="120"/>
        <v>0</v>
      </c>
      <c r="O219" s="116">
        <f t="shared" si="120"/>
        <v>0</v>
      </c>
      <c r="P219" s="116">
        <f t="shared" si="116"/>
        <v>5000000</v>
      </c>
      <c r="Q219" s="116">
        <f t="shared" si="117"/>
        <v>0</v>
      </c>
      <c r="R219" s="116">
        <f t="shared" si="118"/>
        <v>0</v>
      </c>
    </row>
    <row r="220" spans="1:18" s="51" customFormat="1">
      <c r="A220" s="11" t="s">
        <v>240</v>
      </c>
      <c r="B220" s="66" t="s">
        <v>41</v>
      </c>
      <c r="C220" s="1" t="s">
        <v>2</v>
      </c>
      <c r="D220" s="1" t="s">
        <v>13</v>
      </c>
      <c r="E220" s="1" t="s">
        <v>3</v>
      </c>
      <c r="F220" s="1" t="s">
        <v>70</v>
      </c>
      <c r="G220" s="1" t="s">
        <v>148</v>
      </c>
      <c r="H220" s="1" t="s">
        <v>241</v>
      </c>
      <c r="I220" s="13"/>
      <c r="J220" s="113">
        <f t="shared" si="120"/>
        <v>5000000</v>
      </c>
      <c r="K220" s="113">
        <f t="shared" si="120"/>
        <v>0</v>
      </c>
      <c r="L220" s="113">
        <f t="shared" si="120"/>
        <v>0</v>
      </c>
      <c r="M220" s="113">
        <f t="shared" si="120"/>
        <v>0</v>
      </c>
      <c r="N220" s="113">
        <f t="shared" si="120"/>
        <v>0</v>
      </c>
      <c r="O220" s="113">
        <f t="shared" si="120"/>
        <v>0</v>
      </c>
      <c r="P220" s="113">
        <f t="shared" si="116"/>
        <v>5000000</v>
      </c>
      <c r="Q220" s="113">
        <f t="shared" si="117"/>
        <v>0</v>
      </c>
      <c r="R220" s="113">
        <f t="shared" si="118"/>
        <v>0</v>
      </c>
    </row>
    <row r="221" spans="1:18" s="51" customFormat="1" ht="25.5">
      <c r="A221" s="7" t="s">
        <v>72</v>
      </c>
      <c r="B221" s="66" t="s">
        <v>41</v>
      </c>
      <c r="C221" s="1" t="s">
        <v>2</v>
      </c>
      <c r="D221" s="1" t="s">
        <v>13</v>
      </c>
      <c r="E221" s="1" t="s">
        <v>3</v>
      </c>
      <c r="F221" s="1" t="s">
        <v>70</v>
      </c>
      <c r="G221" s="1" t="s">
        <v>148</v>
      </c>
      <c r="H221" s="1" t="s">
        <v>241</v>
      </c>
      <c r="I221" s="13" t="s">
        <v>71</v>
      </c>
      <c r="J221" s="113">
        <f t="shared" si="120"/>
        <v>5000000</v>
      </c>
      <c r="K221" s="113">
        <f t="shared" si="120"/>
        <v>0</v>
      </c>
      <c r="L221" s="113">
        <f t="shared" si="120"/>
        <v>0</v>
      </c>
      <c r="M221" s="113">
        <f t="shared" si="120"/>
        <v>0</v>
      </c>
      <c r="N221" s="113">
        <f t="shared" si="120"/>
        <v>0</v>
      </c>
      <c r="O221" s="113">
        <f t="shared" si="120"/>
        <v>0</v>
      </c>
      <c r="P221" s="113">
        <f t="shared" si="116"/>
        <v>5000000</v>
      </c>
      <c r="Q221" s="113">
        <f t="shared" si="117"/>
        <v>0</v>
      </c>
      <c r="R221" s="113">
        <f t="shared" si="118"/>
        <v>0</v>
      </c>
    </row>
    <row r="222" spans="1:18" s="88" customFormat="1">
      <c r="A222" s="11" t="s">
        <v>75</v>
      </c>
      <c r="B222" s="66" t="s">
        <v>41</v>
      </c>
      <c r="C222" s="1" t="s">
        <v>2</v>
      </c>
      <c r="D222" s="1" t="s">
        <v>13</v>
      </c>
      <c r="E222" s="1" t="s">
        <v>3</v>
      </c>
      <c r="F222" s="1" t="s">
        <v>70</v>
      </c>
      <c r="G222" s="1" t="s">
        <v>148</v>
      </c>
      <c r="H222" s="1" t="s">
        <v>241</v>
      </c>
      <c r="I222" s="13" t="s">
        <v>74</v>
      </c>
      <c r="J222" s="113">
        <v>5000000</v>
      </c>
      <c r="K222" s="113"/>
      <c r="L222" s="113"/>
      <c r="M222" s="113"/>
      <c r="N222" s="113"/>
      <c r="O222" s="113"/>
      <c r="P222" s="113">
        <f t="shared" si="116"/>
        <v>5000000</v>
      </c>
      <c r="Q222" s="113">
        <f t="shared" si="117"/>
        <v>0</v>
      </c>
      <c r="R222" s="113">
        <f t="shared" si="118"/>
        <v>0</v>
      </c>
    </row>
    <row r="223" spans="1:18">
      <c r="A223" s="11"/>
      <c r="B223" s="130"/>
      <c r="C223" s="1"/>
      <c r="D223" s="1"/>
      <c r="E223" s="1"/>
      <c r="F223" s="1"/>
      <c r="G223" s="1"/>
      <c r="H223" s="1"/>
      <c r="I223" s="13"/>
      <c r="J223" s="116"/>
      <c r="K223" s="116"/>
      <c r="L223" s="116"/>
      <c r="M223" s="116"/>
      <c r="N223" s="116"/>
      <c r="O223" s="116"/>
      <c r="P223" s="116"/>
      <c r="Q223" s="116"/>
      <c r="R223" s="116"/>
    </row>
    <row r="224" spans="1:18">
      <c r="A224" s="4" t="s">
        <v>199</v>
      </c>
      <c r="B224" s="14" t="s">
        <v>41</v>
      </c>
      <c r="C224" s="14" t="s">
        <v>2</v>
      </c>
      <c r="D224" s="14" t="s">
        <v>2</v>
      </c>
      <c r="E224" s="14"/>
      <c r="F224" s="14"/>
      <c r="G224" s="14"/>
      <c r="H224" s="14"/>
      <c r="I224" s="29"/>
      <c r="J224" s="112">
        <f>J225</f>
        <v>5112590.37</v>
      </c>
      <c r="K224" s="112">
        <f t="shared" ref="K224:O224" si="121">K225</f>
        <v>5138948.13</v>
      </c>
      <c r="L224" s="112">
        <f t="shared" si="121"/>
        <v>5355890.47</v>
      </c>
      <c r="M224" s="112">
        <f t="shared" si="121"/>
        <v>0</v>
      </c>
      <c r="N224" s="112">
        <f t="shared" si="121"/>
        <v>0</v>
      </c>
      <c r="O224" s="112">
        <f t="shared" si="121"/>
        <v>0</v>
      </c>
      <c r="P224" s="112">
        <f t="shared" si="116"/>
        <v>5112590.37</v>
      </c>
      <c r="Q224" s="112">
        <f t="shared" si="117"/>
        <v>5138948.13</v>
      </c>
      <c r="R224" s="112">
        <f t="shared" si="118"/>
        <v>5355890.47</v>
      </c>
    </row>
    <row r="225" spans="1:18" ht="25.5">
      <c r="A225" s="2" t="s">
        <v>285</v>
      </c>
      <c r="B225" s="66" t="s">
        <v>41</v>
      </c>
      <c r="C225" s="66" t="s">
        <v>2</v>
      </c>
      <c r="D225" s="66" t="s">
        <v>2</v>
      </c>
      <c r="E225" s="66" t="s">
        <v>20</v>
      </c>
      <c r="F225" s="66" t="s">
        <v>70</v>
      </c>
      <c r="G225" s="66" t="s">
        <v>148</v>
      </c>
      <c r="H225" s="66" t="s">
        <v>149</v>
      </c>
      <c r="I225" s="95"/>
      <c r="J225" s="116">
        <f>+J226</f>
        <v>5112590.37</v>
      </c>
      <c r="K225" s="116">
        <f t="shared" ref="K225:O225" si="122">+K226</f>
        <v>5138948.13</v>
      </c>
      <c r="L225" s="116">
        <f t="shared" si="122"/>
        <v>5355890.47</v>
      </c>
      <c r="M225" s="116">
        <f t="shared" si="122"/>
        <v>0</v>
      </c>
      <c r="N225" s="116">
        <f t="shared" si="122"/>
        <v>0</v>
      </c>
      <c r="O225" s="116">
        <f t="shared" si="122"/>
        <v>0</v>
      </c>
      <c r="P225" s="116">
        <f t="shared" si="116"/>
        <v>5112590.37</v>
      </c>
      <c r="Q225" s="116">
        <f t="shared" si="117"/>
        <v>5138948.13</v>
      </c>
      <c r="R225" s="116">
        <f t="shared" si="118"/>
        <v>5355890.47</v>
      </c>
    </row>
    <row r="226" spans="1:18" s="88" customFormat="1" ht="25.5">
      <c r="A226" s="2" t="s">
        <v>147</v>
      </c>
      <c r="B226" s="66" t="s">
        <v>41</v>
      </c>
      <c r="C226" s="66" t="s">
        <v>2</v>
      </c>
      <c r="D226" s="66" t="s">
        <v>2</v>
      </c>
      <c r="E226" s="66" t="s">
        <v>20</v>
      </c>
      <c r="F226" s="60" t="s">
        <v>67</v>
      </c>
      <c r="G226" s="66" t="s">
        <v>148</v>
      </c>
      <c r="H226" s="66" t="s">
        <v>149</v>
      </c>
      <c r="I226" s="95"/>
      <c r="J226" s="116">
        <f>J230+J233+J239+J236+J227</f>
        <v>5112590.37</v>
      </c>
      <c r="K226" s="116">
        <f t="shared" ref="K226:L226" si="123">K230+K233+K239+K236+K227</f>
        <v>5138948.13</v>
      </c>
      <c r="L226" s="116">
        <f t="shared" si="123"/>
        <v>5355890.47</v>
      </c>
      <c r="M226" s="116">
        <f t="shared" ref="M226:O226" si="124">M230+M233+M239+M236+M227</f>
        <v>0</v>
      </c>
      <c r="N226" s="116">
        <f t="shared" si="124"/>
        <v>0</v>
      </c>
      <c r="O226" s="116">
        <f t="shared" si="124"/>
        <v>0</v>
      </c>
      <c r="P226" s="116">
        <f t="shared" si="116"/>
        <v>5112590.37</v>
      </c>
      <c r="Q226" s="116">
        <f t="shared" si="117"/>
        <v>5138948.13</v>
      </c>
      <c r="R226" s="116">
        <f t="shared" si="118"/>
        <v>5355890.47</v>
      </c>
    </row>
    <row r="227" spans="1:18" s="88" customFormat="1" ht="25.5">
      <c r="A227" s="11" t="s">
        <v>208</v>
      </c>
      <c r="B227" s="66" t="s">
        <v>41</v>
      </c>
      <c r="C227" s="66" t="s">
        <v>2</v>
      </c>
      <c r="D227" s="66" t="s">
        <v>2</v>
      </c>
      <c r="E227" s="1" t="s">
        <v>20</v>
      </c>
      <c r="F227" s="1" t="s">
        <v>67</v>
      </c>
      <c r="G227" s="1" t="s">
        <v>148</v>
      </c>
      <c r="H227" s="1" t="s">
        <v>207</v>
      </c>
      <c r="I227" s="13"/>
      <c r="J227" s="116">
        <f t="shared" ref="J227:O228" si="125">J228</f>
        <v>100000</v>
      </c>
      <c r="K227" s="116">
        <f t="shared" si="125"/>
        <v>100000</v>
      </c>
      <c r="L227" s="116">
        <f t="shared" si="125"/>
        <v>100000</v>
      </c>
      <c r="M227" s="116">
        <f t="shared" si="125"/>
        <v>0</v>
      </c>
      <c r="N227" s="116">
        <f t="shared" si="125"/>
        <v>0</v>
      </c>
      <c r="O227" s="116">
        <f t="shared" si="125"/>
        <v>0</v>
      </c>
      <c r="P227" s="116">
        <f t="shared" si="116"/>
        <v>100000</v>
      </c>
      <c r="Q227" s="116">
        <f t="shared" si="117"/>
        <v>100000</v>
      </c>
      <c r="R227" s="116">
        <f t="shared" si="118"/>
        <v>100000</v>
      </c>
    </row>
    <row r="228" spans="1:18" s="88" customFormat="1" ht="25.5">
      <c r="A228" s="7" t="s">
        <v>72</v>
      </c>
      <c r="B228" s="66" t="s">
        <v>41</v>
      </c>
      <c r="C228" s="66" t="s">
        <v>2</v>
      </c>
      <c r="D228" s="66" t="s">
        <v>2</v>
      </c>
      <c r="E228" s="1" t="s">
        <v>20</v>
      </c>
      <c r="F228" s="1" t="s">
        <v>67</v>
      </c>
      <c r="G228" s="1" t="s">
        <v>148</v>
      </c>
      <c r="H228" s="1" t="s">
        <v>207</v>
      </c>
      <c r="I228" s="13" t="s">
        <v>71</v>
      </c>
      <c r="J228" s="116">
        <f t="shared" si="125"/>
        <v>100000</v>
      </c>
      <c r="K228" s="116">
        <f t="shared" si="125"/>
        <v>100000</v>
      </c>
      <c r="L228" s="116">
        <f t="shared" si="125"/>
        <v>100000</v>
      </c>
      <c r="M228" s="116">
        <f t="shared" si="125"/>
        <v>0</v>
      </c>
      <c r="N228" s="116">
        <f t="shared" si="125"/>
        <v>0</v>
      </c>
      <c r="O228" s="116">
        <f t="shared" si="125"/>
        <v>0</v>
      </c>
      <c r="P228" s="116">
        <f t="shared" si="116"/>
        <v>100000</v>
      </c>
      <c r="Q228" s="116">
        <f t="shared" si="117"/>
        <v>100000</v>
      </c>
      <c r="R228" s="116">
        <f t="shared" si="118"/>
        <v>100000</v>
      </c>
    </row>
    <row r="229" spans="1:18">
      <c r="A229" s="11" t="s">
        <v>75</v>
      </c>
      <c r="B229" s="66" t="s">
        <v>41</v>
      </c>
      <c r="C229" s="66" t="s">
        <v>2</v>
      </c>
      <c r="D229" s="66" t="s">
        <v>2</v>
      </c>
      <c r="E229" s="1" t="s">
        <v>20</v>
      </c>
      <c r="F229" s="1" t="s">
        <v>67</v>
      </c>
      <c r="G229" s="1" t="s">
        <v>148</v>
      </c>
      <c r="H229" s="1" t="s">
        <v>207</v>
      </c>
      <c r="I229" s="13" t="s">
        <v>74</v>
      </c>
      <c r="J229" s="116">
        <v>100000</v>
      </c>
      <c r="K229" s="116">
        <v>100000</v>
      </c>
      <c r="L229" s="116">
        <v>100000</v>
      </c>
      <c r="M229" s="116"/>
      <c r="N229" s="116"/>
      <c r="O229" s="116"/>
      <c r="P229" s="116">
        <f t="shared" si="116"/>
        <v>100000</v>
      </c>
      <c r="Q229" s="116">
        <f t="shared" si="117"/>
        <v>100000</v>
      </c>
      <c r="R229" s="116">
        <f t="shared" si="118"/>
        <v>100000</v>
      </c>
    </row>
    <row r="230" spans="1:18" ht="25.5">
      <c r="A230" s="2" t="s">
        <v>89</v>
      </c>
      <c r="B230" s="66" t="s">
        <v>41</v>
      </c>
      <c r="C230" s="66" t="s">
        <v>2</v>
      </c>
      <c r="D230" s="66" t="s">
        <v>2</v>
      </c>
      <c r="E230" s="66" t="s">
        <v>20</v>
      </c>
      <c r="F230" s="60" t="s">
        <v>67</v>
      </c>
      <c r="G230" s="66" t="s">
        <v>148</v>
      </c>
      <c r="H230" s="66" t="s">
        <v>165</v>
      </c>
      <c r="I230" s="95"/>
      <c r="J230" s="116">
        <f>J231</f>
        <v>2961502</v>
      </c>
      <c r="K230" s="116">
        <f t="shared" ref="K230:O231" si="126">K231</f>
        <v>2994036.51</v>
      </c>
      <c r="L230" s="116">
        <f t="shared" si="126"/>
        <v>3144379.58</v>
      </c>
      <c r="M230" s="116">
        <f t="shared" si="126"/>
        <v>0</v>
      </c>
      <c r="N230" s="116">
        <f t="shared" si="126"/>
        <v>0</v>
      </c>
      <c r="O230" s="116">
        <f t="shared" si="126"/>
        <v>0</v>
      </c>
      <c r="P230" s="116">
        <f t="shared" si="116"/>
        <v>2961502</v>
      </c>
      <c r="Q230" s="116">
        <f t="shared" si="117"/>
        <v>2994036.51</v>
      </c>
      <c r="R230" s="116">
        <f t="shared" si="118"/>
        <v>3144379.58</v>
      </c>
    </row>
    <row r="231" spans="1:18" ht="25.5">
      <c r="A231" s="7" t="s">
        <v>72</v>
      </c>
      <c r="B231" s="66" t="s">
        <v>41</v>
      </c>
      <c r="C231" s="66" t="s">
        <v>2</v>
      </c>
      <c r="D231" s="66" t="s">
        <v>2</v>
      </c>
      <c r="E231" s="66" t="s">
        <v>20</v>
      </c>
      <c r="F231" s="60" t="s">
        <v>67</v>
      </c>
      <c r="G231" s="66" t="s">
        <v>148</v>
      </c>
      <c r="H231" s="66" t="s">
        <v>165</v>
      </c>
      <c r="I231" s="95" t="s">
        <v>71</v>
      </c>
      <c r="J231" s="116">
        <f>J232</f>
        <v>2961502</v>
      </c>
      <c r="K231" s="116">
        <f t="shared" si="126"/>
        <v>2994036.51</v>
      </c>
      <c r="L231" s="116">
        <f t="shared" si="126"/>
        <v>3144379.58</v>
      </c>
      <c r="M231" s="116">
        <f t="shared" si="126"/>
        <v>0</v>
      </c>
      <c r="N231" s="116">
        <f t="shared" si="126"/>
        <v>0</v>
      </c>
      <c r="O231" s="116">
        <f t="shared" si="126"/>
        <v>0</v>
      </c>
      <c r="P231" s="116">
        <f t="shared" si="116"/>
        <v>2961502</v>
      </c>
      <c r="Q231" s="116">
        <f t="shared" si="117"/>
        <v>2994036.51</v>
      </c>
      <c r="R231" s="116">
        <f t="shared" si="118"/>
        <v>3144379.58</v>
      </c>
    </row>
    <row r="232" spans="1:18">
      <c r="A232" s="11" t="s">
        <v>75</v>
      </c>
      <c r="B232" s="66" t="s">
        <v>41</v>
      </c>
      <c r="C232" s="66" t="s">
        <v>2</v>
      </c>
      <c r="D232" s="66" t="s">
        <v>2</v>
      </c>
      <c r="E232" s="66" t="s">
        <v>20</v>
      </c>
      <c r="F232" s="60" t="s">
        <v>67</v>
      </c>
      <c r="G232" s="66" t="s">
        <v>148</v>
      </c>
      <c r="H232" s="66" t="s">
        <v>165</v>
      </c>
      <c r="I232" s="95" t="s">
        <v>74</v>
      </c>
      <c r="J232" s="116">
        <v>2961502</v>
      </c>
      <c r="K232" s="116">
        <v>2994036.51</v>
      </c>
      <c r="L232" s="116">
        <v>3144379.58</v>
      </c>
      <c r="M232" s="116"/>
      <c r="N232" s="116"/>
      <c r="O232" s="116"/>
      <c r="P232" s="116">
        <f t="shared" si="116"/>
        <v>2961502</v>
      </c>
      <c r="Q232" s="116">
        <f t="shared" si="117"/>
        <v>2994036.51</v>
      </c>
      <c r="R232" s="116">
        <f t="shared" si="118"/>
        <v>3144379.58</v>
      </c>
    </row>
    <row r="233" spans="1:18">
      <c r="A233" s="2" t="s">
        <v>101</v>
      </c>
      <c r="B233" s="66" t="s">
        <v>41</v>
      </c>
      <c r="C233" s="66" t="s">
        <v>2</v>
      </c>
      <c r="D233" s="66" t="s">
        <v>2</v>
      </c>
      <c r="E233" s="66" t="s">
        <v>20</v>
      </c>
      <c r="F233" s="60" t="s">
        <v>67</v>
      </c>
      <c r="G233" s="66" t="s">
        <v>148</v>
      </c>
      <c r="H233" s="66" t="s">
        <v>166</v>
      </c>
      <c r="I233" s="95"/>
      <c r="J233" s="116">
        <f>J234</f>
        <v>80000</v>
      </c>
      <c r="K233" s="116">
        <f t="shared" ref="K233:O234" si="127">K234</f>
        <v>80000</v>
      </c>
      <c r="L233" s="116">
        <f t="shared" si="127"/>
        <v>80000</v>
      </c>
      <c r="M233" s="116">
        <f t="shared" si="127"/>
        <v>0</v>
      </c>
      <c r="N233" s="116">
        <f t="shared" si="127"/>
        <v>0</v>
      </c>
      <c r="O233" s="116">
        <f t="shared" si="127"/>
        <v>0</v>
      </c>
      <c r="P233" s="116">
        <f t="shared" si="116"/>
        <v>80000</v>
      </c>
      <c r="Q233" s="116">
        <f t="shared" si="117"/>
        <v>80000</v>
      </c>
      <c r="R233" s="116">
        <f t="shared" si="118"/>
        <v>80000</v>
      </c>
    </row>
    <row r="234" spans="1:18" ht="25.5">
      <c r="A234" s="7" t="s">
        <v>72</v>
      </c>
      <c r="B234" s="66" t="s">
        <v>41</v>
      </c>
      <c r="C234" s="66" t="s">
        <v>2</v>
      </c>
      <c r="D234" s="66" t="s">
        <v>2</v>
      </c>
      <c r="E234" s="66" t="s">
        <v>20</v>
      </c>
      <c r="F234" s="60" t="s">
        <v>67</v>
      </c>
      <c r="G234" s="66" t="s">
        <v>148</v>
      </c>
      <c r="H234" s="66" t="s">
        <v>166</v>
      </c>
      <c r="I234" s="95" t="s">
        <v>71</v>
      </c>
      <c r="J234" s="116">
        <f>J235</f>
        <v>80000</v>
      </c>
      <c r="K234" s="116">
        <f t="shared" si="127"/>
        <v>80000</v>
      </c>
      <c r="L234" s="116">
        <f t="shared" si="127"/>
        <v>80000</v>
      </c>
      <c r="M234" s="116">
        <f t="shared" si="127"/>
        <v>0</v>
      </c>
      <c r="N234" s="116">
        <f t="shared" si="127"/>
        <v>0</v>
      </c>
      <c r="O234" s="116">
        <f t="shared" si="127"/>
        <v>0</v>
      </c>
      <c r="P234" s="116">
        <f t="shared" si="116"/>
        <v>80000</v>
      </c>
      <c r="Q234" s="116">
        <f t="shared" si="117"/>
        <v>80000</v>
      </c>
      <c r="R234" s="116">
        <f t="shared" si="118"/>
        <v>80000</v>
      </c>
    </row>
    <row r="235" spans="1:18">
      <c r="A235" s="11" t="s">
        <v>75</v>
      </c>
      <c r="B235" s="66" t="s">
        <v>41</v>
      </c>
      <c r="C235" s="66" t="s">
        <v>2</v>
      </c>
      <c r="D235" s="66" t="s">
        <v>2</v>
      </c>
      <c r="E235" s="66" t="s">
        <v>20</v>
      </c>
      <c r="F235" s="60" t="s">
        <v>67</v>
      </c>
      <c r="G235" s="66" t="s">
        <v>148</v>
      </c>
      <c r="H235" s="66" t="s">
        <v>166</v>
      </c>
      <c r="I235" s="95" t="s">
        <v>74</v>
      </c>
      <c r="J235" s="116">
        <v>80000</v>
      </c>
      <c r="K235" s="116">
        <v>80000</v>
      </c>
      <c r="L235" s="116">
        <v>80000</v>
      </c>
      <c r="M235" s="116"/>
      <c r="N235" s="116"/>
      <c r="O235" s="116"/>
      <c r="P235" s="116">
        <f t="shared" si="116"/>
        <v>80000</v>
      </c>
      <c r="Q235" s="116">
        <f t="shared" si="117"/>
        <v>80000</v>
      </c>
      <c r="R235" s="116">
        <f t="shared" si="118"/>
        <v>80000</v>
      </c>
    </row>
    <row r="236" spans="1:18" ht="25.5">
      <c r="A236" s="2" t="s">
        <v>377</v>
      </c>
      <c r="B236" s="66" t="s">
        <v>41</v>
      </c>
      <c r="C236" s="66" t="s">
        <v>2</v>
      </c>
      <c r="D236" s="66" t="s">
        <v>2</v>
      </c>
      <c r="E236" s="66" t="s">
        <v>20</v>
      </c>
      <c r="F236" s="60" t="s">
        <v>67</v>
      </c>
      <c r="G236" s="66" t="s">
        <v>148</v>
      </c>
      <c r="H236" s="60" t="s">
        <v>226</v>
      </c>
      <c r="I236" s="129"/>
      <c r="J236" s="116">
        <f>J237</f>
        <v>300000</v>
      </c>
      <c r="K236" s="116">
        <f t="shared" ref="K236:O237" si="128">K237</f>
        <v>300000</v>
      </c>
      <c r="L236" s="116">
        <f t="shared" si="128"/>
        <v>300000</v>
      </c>
      <c r="M236" s="116">
        <f t="shared" si="128"/>
        <v>0</v>
      </c>
      <c r="N236" s="116">
        <f t="shared" si="128"/>
        <v>0</v>
      </c>
      <c r="O236" s="116">
        <f t="shared" si="128"/>
        <v>0</v>
      </c>
      <c r="P236" s="116">
        <f t="shared" si="116"/>
        <v>300000</v>
      </c>
      <c r="Q236" s="116">
        <f t="shared" si="117"/>
        <v>300000</v>
      </c>
      <c r="R236" s="116">
        <f t="shared" si="118"/>
        <v>300000</v>
      </c>
    </row>
    <row r="237" spans="1:18" ht="25.5">
      <c r="A237" s="7" t="s">
        <v>72</v>
      </c>
      <c r="B237" s="66" t="s">
        <v>41</v>
      </c>
      <c r="C237" s="66" t="s">
        <v>2</v>
      </c>
      <c r="D237" s="66" t="s">
        <v>2</v>
      </c>
      <c r="E237" s="66" t="s">
        <v>20</v>
      </c>
      <c r="F237" s="60" t="s">
        <v>67</v>
      </c>
      <c r="G237" s="66" t="s">
        <v>148</v>
      </c>
      <c r="H237" s="60" t="s">
        <v>226</v>
      </c>
      <c r="I237" s="129" t="s">
        <v>71</v>
      </c>
      <c r="J237" s="116">
        <f>J238</f>
        <v>300000</v>
      </c>
      <c r="K237" s="116">
        <f t="shared" si="128"/>
        <v>300000</v>
      </c>
      <c r="L237" s="116">
        <f t="shared" si="128"/>
        <v>300000</v>
      </c>
      <c r="M237" s="116">
        <f t="shared" si="128"/>
        <v>0</v>
      </c>
      <c r="N237" s="116">
        <f t="shared" si="128"/>
        <v>0</v>
      </c>
      <c r="O237" s="116">
        <f t="shared" si="128"/>
        <v>0</v>
      </c>
      <c r="P237" s="116">
        <f t="shared" si="116"/>
        <v>300000</v>
      </c>
      <c r="Q237" s="116">
        <f t="shared" si="117"/>
        <v>300000</v>
      </c>
      <c r="R237" s="116">
        <f t="shared" si="118"/>
        <v>300000</v>
      </c>
    </row>
    <row r="238" spans="1:18">
      <c r="A238" s="11" t="s">
        <v>75</v>
      </c>
      <c r="B238" s="66" t="s">
        <v>41</v>
      </c>
      <c r="C238" s="66" t="s">
        <v>2</v>
      </c>
      <c r="D238" s="66" t="s">
        <v>2</v>
      </c>
      <c r="E238" s="66" t="s">
        <v>20</v>
      </c>
      <c r="F238" s="60" t="s">
        <v>67</v>
      </c>
      <c r="G238" s="66" t="s">
        <v>148</v>
      </c>
      <c r="H238" s="60" t="s">
        <v>226</v>
      </c>
      <c r="I238" s="129" t="s">
        <v>74</v>
      </c>
      <c r="J238" s="116">
        <v>300000</v>
      </c>
      <c r="K238" s="116">
        <v>300000</v>
      </c>
      <c r="L238" s="116">
        <v>300000</v>
      </c>
      <c r="M238" s="116"/>
      <c r="N238" s="116"/>
      <c r="O238" s="116"/>
      <c r="P238" s="116">
        <f t="shared" si="116"/>
        <v>300000</v>
      </c>
      <c r="Q238" s="116">
        <f t="shared" si="117"/>
        <v>300000</v>
      </c>
      <c r="R238" s="116">
        <f t="shared" si="118"/>
        <v>300000</v>
      </c>
    </row>
    <row r="239" spans="1:18" ht="38.25">
      <c r="A239" s="2" t="s">
        <v>397</v>
      </c>
      <c r="B239" s="66" t="s">
        <v>41</v>
      </c>
      <c r="C239" s="66" t="s">
        <v>2</v>
      </c>
      <c r="D239" s="66" t="s">
        <v>2</v>
      </c>
      <c r="E239" s="66" t="s">
        <v>20</v>
      </c>
      <c r="F239" s="60" t="s">
        <v>67</v>
      </c>
      <c r="G239" s="66" t="s">
        <v>148</v>
      </c>
      <c r="H239" s="66" t="s">
        <v>167</v>
      </c>
      <c r="I239" s="95"/>
      <c r="J239" s="116">
        <f>J240</f>
        <v>1671088.37</v>
      </c>
      <c r="K239" s="116">
        <f t="shared" ref="K239:O240" si="129">K240</f>
        <v>1664911.62</v>
      </c>
      <c r="L239" s="116">
        <f t="shared" si="129"/>
        <v>1731510.89</v>
      </c>
      <c r="M239" s="116">
        <f t="shared" si="129"/>
        <v>0</v>
      </c>
      <c r="N239" s="116">
        <f t="shared" si="129"/>
        <v>0</v>
      </c>
      <c r="O239" s="116">
        <f t="shared" si="129"/>
        <v>0</v>
      </c>
      <c r="P239" s="116">
        <f t="shared" si="116"/>
        <v>1671088.37</v>
      </c>
      <c r="Q239" s="116">
        <f t="shared" si="117"/>
        <v>1664911.62</v>
      </c>
      <c r="R239" s="116">
        <f t="shared" si="118"/>
        <v>1731510.89</v>
      </c>
    </row>
    <row r="240" spans="1:18" ht="25.5">
      <c r="A240" s="7" t="s">
        <v>72</v>
      </c>
      <c r="B240" s="66" t="s">
        <v>41</v>
      </c>
      <c r="C240" s="66" t="s">
        <v>2</v>
      </c>
      <c r="D240" s="66" t="s">
        <v>2</v>
      </c>
      <c r="E240" s="66" t="s">
        <v>20</v>
      </c>
      <c r="F240" s="60" t="s">
        <v>67</v>
      </c>
      <c r="G240" s="66" t="s">
        <v>148</v>
      </c>
      <c r="H240" s="66" t="s">
        <v>167</v>
      </c>
      <c r="I240" s="95" t="s">
        <v>71</v>
      </c>
      <c r="J240" s="116">
        <f>J241</f>
        <v>1671088.37</v>
      </c>
      <c r="K240" s="116">
        <f t="shared" si="129"/>
        <v>1664911.62</v>
      </c>
      <c r="L240" s="116">
        <f t="shared" si="129"/>
        <v>1731510.89</v>
      </c>
      <c r="M240" s="116">
        <f t="shared" si="129"/>
        <v>0</v>
      </c>
      <c r="N240" s="116">
        <f t="shared" si="129"/>
        <v>0</v>
      </c>
      <c r="O240" s="116">
        <f t="shared" si="129"/>
        <v>0</v>
      </c>
      <c r="P240" s="116">
        <f t="shared" si="116"/>
        <v>1671088.37</v>
      </c>
      <c r="Q240" s="116">
        <f t="shared" si="117"/>
        <v>1664911.62</v>
      </c>
      <c r="R240" s="116">
        <f t="shared" si="118"/>
        <v>1731510.89</v>
      </c>
    </row>
    <row r="241" spans="1:18">
      <c r="A241" s="11" t="s">
        <v>75</v>
      </c>
      <c r="B241" s="66" t="s">
        <v>41</v>
      </c>
      <c r="C241" s="66" t="s">
        <v>2</v>
      </c>
      <c r="D241" s="66" t="s">
        <v>2</v>
      </c>
      <c r="E241" s="66" t="s">
        <v>20</v>
      </c>
      <c r="F241" s="60" t="s">
        <v>67</v>
      </c>
      <c r="G241" s="66" t="s">
        <v>148</v>
      </c>
      <c r="H241" s="66" t="s">
        <v>167</v>
      </c>
      <c r="I241" s="95" t="s">
        <v>74</v>
      </c>
      <c r="J241" s="116">
        <v>1671088.37</v>
      </c>
      <c r="K241" s="116">
        <v>1664911.62</v>
      </c>
      <c r="L241" s="116">
        <v>1731510.89</v>
      </c>
      <c r="M241" s="116"/>
      <c r="N241" s="116"/>
      <c r="O241" s="116"/>
      <c r="P241" s="116">
        <f t="shared" si="116"/>
        <v>1671088.37</v>
      </c>
      <c r="Q241" s="116">
        <f t="shared" si="117"/>
        <v>1664911.62</v>
      </c>
      <c r="R241" s="116">
        <f t="shared" si="118"/>
        <v>1731510.89</v>
      </c>
    </row>
    <row r="242" spans="1:18">
      <c r="A242" s="2"/>
      <c r="B242" s="41"/>
      <c r="C242" s="1"/>
      <c r="D242" s="1"/>
      <c r="E242" s="1"/>
      <c r="F242" s="1"/>
      <c r="G242" s="1"/>
      <c r="H242" s="1"/>
      <c r="I242" s="13"/>
      <c r="J242" s="84"/>
      <c r="K242" s="84"/>
      <c r="L242" s="84"/>
      <c r="M242" s="84"/>
      <c r="N242" s="84"/>
      <c r="O242" s="84"/>
      <c r="P242" s="84"/>
      <c r="Q242" s="84"/>
      <c r="R242" s="84"/>
    </row>
    <row r="243" spans="1:18">
      <c r="A243" s="4" t="s">
        <v>35</v>
      </c>
      <c r="B243" s="14" t="s">
        <v>41</v>
      </c>
      <c r="C243" s="15" t="s">
        <v>2</v>
      </c>
      <c r="D243" s="15" t="s">
        <v>14</v>
      </c>
      <c r="E243" s="15"/>
      <c r="F243" s="15"/>
      <c r="G243" s="15"/>
      <c r="H243" s="15"/>
      <c r="I243" s="27"/>
      <c r="J243" s="112">
        <f>J244+J263</f>
        <v>18453899</v>
      </c>
      <c r="K243" s="112">
        <f>K244+K263</f>
        <v>18629498.530000001</v>
      </c>
      <c r="L243" s="112">
        <f>L244+L263</f>
        <v>18706853.510000002</v>
      </c>
      <c r="M243" s="112">
        <f t="shared" ref="M243:O243" si="130">M244+M263</f>
        <v>0</v>
      </c>
      <c r="N243" s="112">
        <f t="shared" si="130"/>
        <v>0</v>
      </c>
      <c r="O243" s="112">
        <f t="shared" si="130"/>
        <v>0</v>
      </c>
      <c r="P243" s="112">
        <f t="shared" si="116"/>
        <v>18453899</v>
      </c>
      <c r="Q243" s="112">
        <f t="shared" si="117"/>
        <v>18629498.530000001</v>
      </c>
      <c r="R243" s="112">
        <f t="shared" si="118"/>
        <v>18706853.510000002</v>
      </c>
    </row>
    <row r="244" spans="1:18" ht="25.5">
      <c r="A244" s="2" t="s">
        <v>285</v>
      </c>
      <c r="B244" s="66" t="s">
        <v>41</v>
      </c>
      <c r="C244" s="1" t="s">
        <v>2</v>
      </c>
      <c r="D244" s="1" t="s">
        <v>14</v>
      </c>
      <c r="E244" s="1" t="s">
        <v>20</v>
      </c>
      <c r="F244" s="1" t="s">
        <v>70</v>
      </c>
      <c r="G244" s="1" t="s">
        <v>148</v>
      </c>
      <c r="H244" s="1" t="s">
        <v>149</v>
      </c>
      <c r="I244" s="13"/>
      <c r="J244" s="116">
        <f>J245+J252+J259</f>
        <v>255000</v>
      </c>
      <c r="K244" s="116">
        <f>K245+K252+K259</f>
        <v>255000</v>
      </c>
      <c r="L244" s="116">
        <f>L245+L252+L259</f>
        <v>255000</v>
      </c>
      <c r="M244" s="116">
        <f t="shared" ref="M244:O244" si="131">M245+M252+M259</f>
        <v>0</v>
      </c>
      <c r="N244" s="116">
        <f t="shared" si="131"/>
        <v>0</v>
      </c>
      <c r="O244" s="116">
        <f t="shared" si="131"/>
        <v>0</v>
      </c>
      <c r="P244" s="116">
        <f t="shared" si="116"/>
        <v>255000</v>
      </c>
      <c r="Q244" s="116">
        <f t="shared" si="117"/>
        <v>255000</v>
      </c>
      <c r="R244" s="116">
        <f t="shared" si="118"/>
        <v>255000</v>
      </c>
    </row>
    <row r="245" spans="1:18" ht="25.5">
      <c r="A245" s="2" t="s">
        <v>141</v>
      </c>
      <c r="B245" s="66" t="s">
        <v>41</v>
      </c>
      <c r="C245" s="1" t="s">
        <v>2</v>
      </c>
      <c r="D245" s="1" t="s">
        <v>14</v>
      </c>
      <c r="E245" s="1" t="s">
        <v>20</v>
      </c>
      <c r="F245" s="1" t="s">
        <v>44</v>
      </c>
      <c r="G245" s="1" t="s">
        <v>148</v>
      </c>
      <c r="H245" s="1" t="s">
        <v>149</v>
      </c>
      <c r="I245" s="13"/>
      <c r="J245" s="116">
        <f>J246</f>
        <v>100000</v>
      </c>
      <c r="K245" s="116">
        <f t="shared" ref="K245:O245" si="132">K246</f>
        <v>100000</v>
      </c>
      <c r="L245" s="116">
        <f t="shared" si="132"/>
        <v>100000</v>
      </c>
      <c r="M245" s="116">
        <f t="shared" si="132"/>
        <v>0</v>
      </c>
      <c r="N245" s="116">
        <f t="shared" si="132"/>
        <v>0</v>
      </c>
      <c r="O245" s="116">
        <f t="shared" si="132"/>
        <v>0</v>
      </c>
      <c r="P245" s="116">
        <f t="shared" si="116"/>
        <v>100000</v>
      </c>
      <c r="Q245" s="116">
        <f t="shared" si="117"/>
        <v>100000</v>
      </c>
      <c r="R245" s="116">
        <f t="shared" si="118"/>
        <v>100000</v>
      </c>
    </row>
    <row r="246" spans="1:18">
      <c r="A246" s="2" t="s">
        <v>88</v>
      </c>
      <c r="B246" s="66" t="s">
        <v>41</v>
      </c>
      <c r="C246" s="1" t="s">
        <v>2</v>
      </c>
      <c r="D246" s="1" t="s">
        <v>14</v>
      </c>
      <c r="E246" s="1" t="s">
        <v>20</v>
      </c>
      <c r="F246" s="1" t="s">
        <v>44</v>
      </c>
      <c r="G246" s="1" t="s">
        <v>148</v>
      </c>
      <c r="H246" s="1" t="s">
        <v>162</v>
      </c>
      <c r="I246" s="13"/>
      <c r="J246" s="116">
        <f>+J247+J249</f>
        <v>100000</v>
      </c>
      <c r="K246" s="116">
        <f t="shared" ref="K246:L246" si="133">+K247+K249</f>
        <v>100000</v>
      </c>
      <c r="L246" s="116">
        <f t="shared" si="133"/>
        <v>100000</v>
      </c>
      <c r="M246" s="116">
        <f t="shared" ref="M246:O246" si="134">+M247+M249</f>
        <v>0</v>
      </c>
      <c r="N246" s="116">
        <f t="shared" si="134"/>
        <v>0</v>
      </c>
      <c r="O246" s="116">
        <f t="shared" si="134"/>
        <v>0</v>
      </c>
      <c r="P246" s="116">
        <f t="shared" si="116"/>
        <v>100000</v>
      </c>
      <c r="Q246" s="116">
        <f t="shared" si="117"/>
        <v>100000</v>
      </c>
      <c r="R246" s="116">
        <f t="shared" si="118"/>
        <v>100000</v>
      </c>
    </row>
    <row r="247" spans="1:18" ht="25.5">
      <c r="A247" s="80" t="s">
        <v>260</v>
      </c>
      <c r="B247" s="66" t="s">
        <v>41</v>
      </c>
      <c r="C247" s="1" t="s">
        <v>2</v>
      </c>
      <c r="D247" s="1" t="s">
        <v>14</v>
      </c>
      <c r="E247" s="1" t="s">
        <v>20</v>
      </c>
      <c r="F247" s="1" t="s">
        <v>44</v>
      </c>
      <c r="G247" s="1" t="s">
        <v>148</v>
      </c>
      <c r="H247" s="1" t="s">
        <v>162</v>
      </c>
      <c r="I247" s="13" t="s">
        <v>94</v>
      </c>
      <c r="J247" s="116">
        <f>J248</f>
        <v>50000</v>
      </c>
      <c r="K247" s="116">
        <f t="shared" ref="K247:O247" si="135">K248</f>
        <v>50000</v>
      </c>
      <c r="L247" s="116">
        <f t="shared" si="135"/>
        <v>50000</v>
      </c>
      <c r="M247" s="116">
        <f t="shared" si="135"/>
        <v>0</v>
      </c>
      <c r="N247" s="116">
        <f t="shared" si="135"/>
        <v>0</v>
      </c>
      <c r="O247" s="116">
        <f t="shared" si="135"/>
        <v>0</v>
      </c>
      <c r="P247" s="116">
        <f t="shared" si="116"/>
        <v>50000</v>
      </c>
      <c r="Q247" s="116">
        <f t="shared" si="117"/>
        <v>50000</v>
      </c>
      <c r="R247" s="116">
        <f t="shared" si="118"/>
        <v>50000</v>
      </c>
    </row>
    <row r="248" spans="1:18" ht="25.5">
      <c r="A248" s="78" t="s">
        <v>98</v>
      </c>
      <c r="B248" s="66" t="s">
        <v>41</v>
      </c>
      <c r="C248" s="1" t="s">
        <v>2</v>
      </c>
      <c r="D248" s="1" t="s">
        <v>14</v>
      </c>
      <c r="E248" s="1" t="s">
        <v>20</v>
      </c>
      <c r="F248" s="1" t="s">
        <v>44</v>
      </c>
      <c r="G248" s="1" t="s">
        <v>148</v>
      </c>
      <c r="H248" s="1" t="s">
        <v>162</v>
      </c>
      <c r="I248" s="13" t="s">
        <v>95</v>
      </c>
      <c r="J248" s="116">
        <v>50000</v>
      </c>
      <c r="K248" s="116">
        <v>50000</v>
      </c>
      <c r="L248" s="116">
        <v>50000</v>
      </c>
      <c r="M248" s="116"/>
      <c r="N248" s="116"/>
      <c r="O248" s="116"/>
      <c r="P248" s="116">
        <f t="shared" si="116"/>
        <v>50000</v>
      </c>
      <c r="Q248" s="116">
        <f t="shared" si="117"/>
        <v>50000</v>
      </c>
      <c r="R248" s="116">
        <f t="shared" si="118"/>
        <v>50000</v>
      </c>
    </row>
    <row r="249" spans="1:18">
      <c r="A249" s="9" t="s">
        <v>100</v>
      </c>
      <c r="B249" s="66" t="s">
        <v>41</v>
      </c>
      <c r="C249" s="1" t="s">
        <v>2</v>
      </c>
      <c r="D249" s="1" t="s">
        <v>14</v>
      </c>
      <c r="E249" s="1" t="s">
        <v>20</v>
      </c>
      <c r="F249" s="1" t="s">
        <v>44</v>
      </c>
      <c r="G249" s="1" t="s">
        <v>148</v>
      </c>
      <c r="H249" s="1" t="s">
        <v>162</v>
      </c>
      <c r="I249" s="13" t="s">
        <v>99</v>
      </c>
      <c r="J249" s="116">
        <f>+J250+J251</f>
        <v>50000</v>
      </c>
      <c r="K249" s="116">
        <f t="shared" ref="K249:O249" si="136">+K250+K251</f>
        <v>50000</v>
      </c>
      <c r="L249" s="116">
        <f t="shared" si="136"/>
        <v>50000</v>
      </c>
      <c r="M249" s="116">
        <f t="shared" si="136"/>
        <v>0</v>
      </c>
      <c r="N249" s="116">
        <f t="shared" si="136"/>
        <v>0</v>
      </c>
      <c r="O249" s="116">
        <f t="shared" si="136"/>
        <v>0</v>
      </c>
      <c r="P249" s="116">
        <f t="shared" si="116"/>
        <v>50000</v>
      </c>
      <c r="Q249" s="116">
        <f t="shared" si="117"/>
        <v>50000</v>
      </c>
      <c r="R249" s="116">
        <f t="shared" si="118"/>
        <v>50000</v>
      </c>
    </row>
    <row r="250" spans="1:18">
      <c r="A250" s="59" t="s">
        <v>223</v>
      </c>
      <c r="B250" s="66" t="s">
        <v>41</v>
      </c>
      <c r="C250" s="1" t="s">
        <v>2</v>
      </c>
      <c r="D250" s="1" t="s">
        <v>14</v>
      </c>
      <c r="E250" s="1" t="s">
        <v>20</v>
      </c>
      <c r="F250" s="1" t="s">
        <v>44</v>
      </c>
      <c r="G250" s="1" t="s">
        <v>148</v>
      </c>
      <c r="H250" s="1" t="s">
        <v>162</v>
      </c>
      <c r="I250" s="13" t="s">
        <v>222</v>
      </c>
      <c r="J250" s="116">
        <v>9200</v>
      </c>
      <c r="K250" s="116">
        <v>9200</v>
      </c>
      <c r="L250" s="116">
        <v>9200</v>
      </c>
      <c r="M250" s="116"/>
      <c r="N250" s="116"/>
      <c r="O250" s="116"/>
      <c r="P250" s="116">
        <f t="shared" si="116"/>
        <v>9200</v>
      </c>
      <c r="Q250" s="116">
        <f t="shared" si="117"/>
        <v>9200</v>
      </c>
      <c r="R250" s="116">
        <f t="shared" si="118"/>
        <v>9200</v>
      </c>
    </row>
    <row r="251" spans="1:18">
      <c r="A251" s="78" t="s">
        <v>117</v>
      </c>
      <c r="B251" s="66" t="s">
        <v>41</v>
      </c>
      <c r="C251" s="1" t="s">
        <v>2</v>
      </c>
      <c r="D251" s="1" t="s">
        <v>14</v>
      </c>
      <c r="E251" s="1" t="s">
        <v>20</v>
      </c>
      <c r="F251" s="1" t="s">
        <v>44</v>
      </c>
      <c r="G251" s="1" t="s">
        <v>148</v>
      </c>
      <c r="H251" s="1" t="s">
        <v>162</v>
      </c>
      <c r="I251" s="13" t="s">
        <v>116</v>
      </c>
      <c r="J251" s="116">
        <v>40800</v>
      </c>
      <c r="K251" s="116">
        <v>40800</v>
      </c>
      <c r="L251" s="116">
        <v>40800</v>
      </c>
      <c r="M251" s="116"/>
      <c r="N251" s="116"/>
      <c r="O251" s="116"/>
      <c r="P251" s="116">
        <f t="shared" si="116"/>
        <v>40800</v>
      </c>
      <c r="Q251" s="116">
        <f t="shared" si="117"/>
        <v>40800</v>
      </c>
      <c r="R251" s="116">
        <f t="shared" si="118"/>
        <v>40800</v>
      </c>
    </row>
    <row r="252" spans="1:18" ht="25.5">
      <c r="A252" s="2" t="s">
        <v>146</v>
      </c>
      <c r="B252" s="66" t="s">
        <v>41</v>
      </c>
      <c r="C252" s="1" t="s">
        <v>2</v>
      </c>
      <c r="D252" s="1" t="s">
        <v>14</v>
      </c>
      <c r="E252" s="1" t="s">
        <v>20</v>
      </c>
      <c r="F252" s="1" t="s">
        <v>114</v>
      </c>
      <c r="G252" s="1" t="s">
        <v>148</v>
      </c>
      <c r="H252" s="1" t="s">
        <v>149</v>
      </c>
      <c r="I252" s="13"/>
      <c r="J252" s="116">
        <f>J253</f>
        <v>135000</v>
      </c>
      <c r="K252" s="116">
        <f t="shared" ref="K252:O252" si="137">K253</f>
        <v>135000</v>
      </c>
      <c r="L252" s="116">
        <f t="shared" si="137"/>
        <v>135000</v>
      </c>
      <c r="M252" s="116">
        <f t="shared" si="137"/>
        <v>0</v>
      </c>
      <c r="N252" s="116">
        <f t="shared" si="137"/>
        <v>0</v>
      </c>
      <c r="O252" s="116">
        <f t="shared" si="137"/>
        <v>0</v>
      </c>
      <c r="P252" s="116">
        <f t="shared" si="116"/>
        <v>135000</v>
      </c>
      <c r="Q252" s="116">
        <f t="shared" si="117"/>
        <v>135000</v>
      </c>
      <c r="R252" s="116">
        <f t="shared" si="118"/>
        <v>135000</v>
      </c>
    </row>
    <row r="253" spans="1:18">
      <c r="A253" s="2" t="s">
        <v>88</v>
      </c>
      <c r="B253" s="66" t="s">
        <v>41</v>
      </c>
      <c r="C253" s="1" t="s">
        <v>2</v>
      </c>
      <c r="D253" s="1" t="s">
        <v>14</v>
      </c>
      <c r="E253" s="1" t="s">
        <v>20</v>
      </c>
      <c r="F253" s="1" t="s">
        <v>114</v>
      </c>
      <c r="G253" s="1" t="s">
        <v>148</v>
      </c>
      <c r="H253" s="1" t="s">
        <v>162</v>
      </c>
      <c r="I253" s="13"/>
      <c r="J253" s="116">
        <f>J254+J256</f>
        <v>135000</v>
      </c>
      <c r="K253" s="116">
        <f t="shared" ref="K253:L253" si="138">K254+K256</f>
        <v>135000</v>
      </c>
      <c r="L253" s="116">
        <f t="shared" si="138"/>
        <v>135000</v>
      </c>
      <c r="M253" s="116">
        <f t="shared" ref="M253:O253" si="139">M254+M256</f>
        <v>0</v>
      </c>
      <c r="N253" s="116">
        <f t="shared" si="139"/>
        <v>0</v>
      </c>
      <c r="O253" s="116">
        <f t="shared" si="139"/>
        <v>0</v>
      </c>
      <c r="P253" s="116">
        <f t="shared" si="116"/>
        <v>135000</v>
      </c>
      <c r="Q253" s="116">
        <f t="shared" si="117"/>
        <v>135000</v>
      </c>
      <c r="R253" s="116">
        <f t="shared" si="118"/>
        <v>135000</v>
      </c>
    </row>
    <row r="254" spans="1:18" ht="25.5">
      <c r="A254" s="80" t="s">
        <v>260</v>
      </c>
      <c r="B254" s="66" t="s">
        <v>41</v>
      </c>
      <c r="C254" s="1" t="s">
        <v>2</v>
      </c>
      <c r="D254" s="1" t="s">
        <v>14</v>
      </c>
      <c r="E254" s="1" t="s">
        <v>20</v>
      </c>
      <c r="F254" s="1" t="s">
        <v>114</v>
      </c>
      <c r="G254" s="1" t="s">
        <v>148</v>
      </c>
      <c r="H254" s="1" t="s">
        <v>162</v>
      </c>
      <c r="I254" s="13" t="s">
        <v>94</v>
      </c>
      <c r="J254" s="116">
        <f t="shared" ref="J254:O254" si="140">J255</f>
        <v>30000</v>
      </c>
      <c r="K254" s="116">
        <f t="shared" si="140"/>
        <v>30000</v>
      </c>
      <c r="L254" s="116">
        <f t="shared" si="140"/>
        <v>30000</v>
      </c>
      <c r="M254" s="116">
        <f t="shared" si="140"/>
        <v>0</v>
      </c>
      <c r="N254" s="116">
        <f t="shared" si="140"/>
        <v>0</v>
      </c>
      <c r="O254" s="116">
        <f t="shared" si="140"/>
        <v>0</v>
      </c>
      <c r="P254" s="116">
        <f t="shared" si="116"/>
        <v>30000</v>
      </c>
      <c r="Q254" s="116">
        <f t="shared" si="117"/>
        <v>30000</v>
      </c>
      <c r="R254" s="116">
        <f t="shared" si="118"/>
        <v>30000</v>
      </c>
    </row>
    <row r="255" spans="1:18" ht="25.5">
      <c r="A255" s="78" t="s">
        <v>98</v>
      </c>
      <c r="B255" s="66" t="s">
        <v>41</v>
      </c>
      <c r="C255" s="1" t="s">
        <v>2</v>
      </c>
      <c r="D255" s="1" t="s">
        <v>14</v>
      </c>
      <c r="E255" s="1" t="s">
        <v>20</v>
      </c>
      <c r="F255" s="1" t="s">
        <v>114</v>
      </c>
      <c r="G255" s="1" t="s">
        <v>148</v>
      </c>
      <c r="H255" s="1" t="s">
        <v>162</v>
      </c>
      <c r="I255" s="13" t="s">
        <v>95</v>
      </c>
      <c r="J255" s="116">
        <v>30000</v>
      </c>
      <c r="K255" s="116">
        <v>30000</v>
      </c>
      <c r="L255" s="116">
        <v>30000</v>
      </c>
      <c r="M255" s="116"/>
      <c r="N255" s="116"/>
      <c r="O255" s="116"/>
      <c r="P255" s="116">
        <f t="shared" si="116"/>
        <v>30000</v>
      </c>
      <c r="Q255" s="116">
        <f t="shared" si="117"/>
        <v>30000</v>
      </c>
      <c r="R255" s="116">
        <f t="shared" si="118"/>
        <v>30000</v>
      </c>
    </row>
    <row r="256" spans="1:18">
      <c r="A256" s="9" t="s">
        <v>100</v>
      </c>
      <c r="B256" s="66" t="s">
        <v>41</v>
      </c>
      <c r="C256" s="1" t="s">
        <v>2</v>
      </c>
      <c r="D256" s="1" t="s">
        <v>14</v>
      </c>
      <c r="E256" s="1" t="s">
        <v>20</v>
      </c>
      <c r="F256" s="1" t="s">
        <v>114</v>
      </c>
      <c r="G256" s="1" t="s">
        <v>148</v>
      </c>
      <c r="H256" s="1" t="s">
        <v>162</v>
      </c>
      <c r="I256" s="13" t="s">
        <v>99</v>
      </c>
      <c r="J256" s="116">
        <f>J257+J258</f>
        <v>105000</v>
      </c>
      <c r="K256" s="116">
        <f t="shared" ref="K256:O256" si="141">K257+K258</f>
        <v>105000</v>
      </c>
      <c r="L256" s="116">
        <f t="shared" si="141"/>
        <v>105000</v>
      </c>
      <c r="M256" s="116">
        <f t="shared" si="141"/>
        <v>0</v>
      </c>
      <c r="N256" s="116">
        <f t="shared" si="141"/>
        <v>0</v>
      </c>
      <c r="O256" s="116">
        <f t="shared" si="141"/>
        <v>0</v>
      </c>
      <c r="P256" s="116">
        <f t="shared" si="116"/>
        <v>105000</v>
      </c>
      <c r="Q256" s="116">
        <f t="shared" si="117"/>
        <v>105000</v>
      </c>
      <c r="R256" s="116">
        <f t="shared" si="118"/>
        <v>105000</v>
      </c>
    </row>
    <row r="257" spans="1:18">
      <c r="A257" s="59" t="s">
        <v>223</v>
      </c>
      <c r="B257" s="66" t="s">
        <v>41</v>
      </c>
      <c r="C257" s="1" t="s">
        <v>2</v>
      </c>
      <c r="D257" s="1" t="s">
        <v>14</v>
      </c>
      <c r="E257" s="1" t="s">
        <v>20</v>
      </c>
      <c r="F257" s="1" t="s">
        <v>114</v>
      </c>
      <c r="G257" s="1" t="s">
        <v>148</v>
      </c>
      <c r="H257" s="1" t="s">
        <v>162</v>
      </c>
      <c r="I257" s="13" t="s">
        <v>222</v>
      </c>
      <c r="J257" s="116">
        <v>25000</v>
      </c>
      <c r="K257" s="116">
        <v>25000</v>
      </c>
      <c r="L257" s="116">
        <v>25000</v>
      </c>
      <c r="M257" s="116"/>
      <c r="N257" s="116"/>
      <c r="O257" s="116"/>
      <c r="P257" s="116">
        <f t="shared" si="116"/>
        <v>25000</v>
      </c>
      <c r="Q257" s="116">
        <f t="shared" si="117"/>
        <v>25000</v>
      </c>
      <c r="R257" s="116">
        <f t="shared" si="118"/>
        <v>25000</v>
      </c>
    </row>
    <row r="258" spans="1:18">
      <c r="A258" s="78" t="s">
        <v>117</v>
      </c>
      <c r="B258" s="66" t="s">
        <v>41</v>
      </c>
      <c r="C258" s="1" t="s">
        <v>2</v>
      </c>
      <c r="D258" s="1" t="s">
        <v>14</v>
      </c>
      <c r="E258" s="1" t="s">
        <v>20</v>
      </c>
      <c r="F258" s="1" t="s">
        <v>114</v>
      </c>
      <c r="G258" s="1" t="s">
        <v>148</v>
      </c>
      <c r="H258" s="1" t="s">
        <v>162</v>
      </c>
      <c r="I258" s="13" t="s">
        <v>116</v>
      </c>
      <c r="J258" s="116">
        <v>80000</v>
      </c>
      <c r="K258" s="116">
        <v>80000</v>
      </c>
      <c r="L258" s="116">
        <v>80000</v>
      </c>
      <c r="M258" s="116"/>
      <c r="N258" s="116"/>
      <c r="O258" s="116"/>
      <c r="P258" s="116">
        <f t="shared" si="116"/>
        <v>80000</v>
      </c>
      <c r="Q258" s="116">
        <f t="shared" si="117"/>
        <v>80000</v>
      </c>
      <c r="R258" s="116">
        <f t="shared" si="118"/>
        <v>80000</v>
      </c>
    </row>
    <row r="259" spans="1:18" ht="25.5">
      <c r="A259" s="2" t="s">
        <v>147</v>
      </c>
      <c r="B259" s="66" t="s">
        <v>41</v>
      </c>
      <c r="C259" s="1" t="s">
        <v>2</v>
      </c>
      <c r="D259" s="1" t="s">
        <v>14</v>
      </c>
      <c r="E259" s="1" t="s">
        <v>20</v>
      </c>
      <c r="F259" s="1" t="s">
        <v>67</v>
      </c>
      <c r="G259" s="1" t="s">
        <v>148</v>
      </c>
      <c r="H259" s="1" t="s">
        <v>149</v>
      </c>
      <c r="I259" s="13"/>
      <c r="J259" s="116">
        <f t="shared" ref="J259:O261" si="142">J260</f>
        <v>20000</v>
      </c>
      <c r="K259" s="116">
        <f t="shared" si="142"/>
        <v>20000</v>
      </c>
      <c r="L259" s="116">
        <f t="shared" si="142"/>
        <v>20000</v>
      </c>
      <c r="M259" s="116">
        <f t="shared" si="142"/>
        <v>0</v>
      </c>
      <c r="N259" s="116">
        <f t="shared" si="142"/>
        <v>0</v>
      </c>
      <c r="O259" s="116">
        <f t="shared" si="142"/>
        <v>0</v>
      </c>
      <c r="P259" s="116">
        <f t="shared" si="116"/>
        <v>20000</v>
      </c>
      <c r="Q259" s="116">
        <f t="shared" si="117"/>
        <v>20000</v>
      </c>
      <c r="R259" s="116">
        <f t="shared" si="118"/>
        <v>20000</v>
      </c>
    </row>
    <row r="260" spans="1:18" ht="15.75" customHeight="1">
      <c r="A260" s="2" t="s">
        <v>88</v>
      </c>
      <c r="B260" s="66" t="s">
        <v>41</v>
      </c>
      <c r="C260" s="66" t="s">
        <v>2</v>
      </c>
      <c r="D260" s="66" t="s">
        <v>14</v>
      </c>
      <c r="E260" s="66" t="s">
        <v>20</v>
      </c>
      <c r="F260" s="60" t="s">
        <v>67</v>
      </c>
      <c r="G260" s="66" t="s">
        <v>148</v>
      </c>
      <c r="H260" s="66" t="s">
        <v>162</v>
      </c>
      <c r="I260" s="95"/>
      <c r="J260" s="116">
        <f t="shared" si="142"/>
        <v>20000</v>
      </c>
      <c r="K260" s="116">
        <f t="shared" si="142"/>
        <v>20000</v>
      </c>
      <c r="L260" s="116">
        <f t="shared" si="142"/>
        <v>20000</v>
      </c>
      <c r="M260" s="116">
        <f t="shared" si="142"/>
        <v>0</v>
      </c>
      <c r="N260" s="116">
        <f t="shared" si="142"/>
        <v>0</v>
      </c>
      <c r="O260" s="116">
        <f t="shared" si="142"/>
        <v>0</v>
      </c>
      <c r="P260" s="116">
        <f t="shared" si="116"/>
        <v>20000</v>
      </c>
      <c r="Q260" s="116">
        <f t="shared" si="117"/>
        <v>20000</v>
      </c>
      <c r="R260" s="116">
        <f t="shared" si="118"/>
        <v>20000</v>
      </c>
    </row>
    <row r="261" spans="1:18">
      <c r="A261" s="11" t="s">
        <v>100</v>
      </c>
      <c r="B261" s="66" t="s">
        <v>41</v>
      </c>
      <c r="C261" s="66" t="s">
        <v>2</v>
      </c>
      <c r="D261" s="66" t="s">
        <v>14</v>
      </c>
      <c r="E261" s="66" t="s">
        <v>20</v>
      </c>
      <c r="F261" s="60" t="s">
        <v>67</v>
      </c>
      <c r="G261" s="66" t="s">
        <v>148</v>
      </c>
      <c r="H261" s="66" t="s">
        <v>162</v>
      </c>
      <c r="I261" s="129" t="s">
        <v>99</v>
      </c>
      <c r="J261" s="116">
        <f t="shared" si="142"/>
        <v>20000</v>
      </c>
      <c r="K261" s="116">
        <f t="shared" si="142"/>
        <v>20000</v>
      </c>
      <c r="L261" s="116">
        <f t="shared" si="142"/>
        <v>20000</v>
      </c>
      <c r="M261" s="116">
        <f t="shared" si="142"/>
        <v>0</v>
      </c>
      <c r="N261" s="116">
        <f t="shared" si="142"/>
        <v>0</v>
      </c>
      <c r="O261" s="116">
        <f t="shared" si="142"/>
        <v>0</v>
      </c>
      <c r="P261" s="116">
        <f t="shared" si="116"/>
        <v>20000</v>
      </c>
      <c r="Q261" s="116">
        <f t="shared" si="117"/>
        <v>20000</v>
      </c>
      <c r="R261" s="116">
        <f t="shared" si="118"/>
        <v>20000</v>
      </c>
    </row>
    <row r="262" spans="1:18" ht="25.5">
      <c r="A262" s="73" t="s">
        <v>106</v>
      </c>
      <c r="B262" s="66" t="s">
        <v>41</v>
      </c>
      <c r="C262" s="66" t="s">
        <v>2</v>
      </c>
      <c r="D262" s="66" t="s">
        <v>14</v>
      </c>
      <c r="E262" s="66" t="s">
        <v>20</v>
      </c>
      <c r="F262" s="60" t="s">
        <v>67</v>
      </c>
      <c r="G262" s="66" t="s">
        <v>148</v>
      </c>
      <c r="H262" s="66" t="s">
        <v>162</v>
      </c>
      <c r="I262" s="129" t="s">
        <v>107</v>
      </c>
      <c r="J262" s="116">
        <v>20000</v>
      </c>
      <c r="K262" s="116">
        <v>20000</v>
      </c>
      <c r="L262" s="116">
        <v>20000</v>
      </c>
      <c r="M262" s="116"/>
      <c r="N262" s="116"/>
      <c r="O262" s="116"/>
      <c r="P262" s="116">
        <f t="shared" si="116"/>
        <v>20000</v>
      </c>
      <c r="Q262" s="116">
        <f t="shared" si="117"/>
        <v>20000</v>
      </c>
      <c r="R262" s="116">
        <f t="shared" si="118"/>
        <v>20000</v>
      </c>
    </row>
    <row r="263" spans="1:18">
      <c r="A263" s="7" t="s">
        <v>83</v>
      </c>
      <c r="B263" s="1" t="s">
        <v>41</v>
      </c>
      <c r="C263" s="1" t="s">
        <v>2</v>
      </c>
      <c r="D263" s="1" t="s">
        <v>14</v>
      </c>
      <c r="E263" s="1" t="s">
        <v>82</v>
      </c>
      <c r="F263" s="1" t="s">
        <v>70</v>
      </c>
      <c r="G263" s="1" t="s">
        <v>148</v>
      </c>
      <c r="H263" s="1" t="s">
        <v>149</v>
      </c>
      <c r="I263" s="13"/>
      <c r="J263" s="113">
        <f>J264</f>
        <v>18198899</v>
      </c>
      <c r="K263" s="113">
        <f t="shared" ref="K263:O263" si="143">K264</f>
        <v>18374498.530000001</v>
      </c>
      <c r="L263" s="113">
        <f t="shared" si="143"/>
        <v>18451853.510000002</v>
      </c>
      <c r="M263" s="113">
        <f t="shared" si="143"/>
        <v>0</v>
      </c>
      <c r="N263" s="113">
        <f t="shared" si="143"/>
        <v>0</v>
      </c>
      <c r="O263" s="113">
        <f t="shared" si="143"/>
        <v>0</v>
      </c>
      <c r="P263" s="113">
        <f t="shared" si="116"/>
        <v>18198899</v>
      </c>
      <c r="Q263" s="113">
        <f t="shared" si="117"/>
        <v>18374498.530000001</v>
      </c>
      <c r="R263" s="113">
        <f t="shared" si="118"/>
        <v>18451853.510000002</v>
      </c>
    </row>
    <row r="264" spans="1:18" ht="25.5">
      <c r="A264" s="2" t="s">
        <v>87</v>
      </c>
      <c r="B264" s="1" t="s">
        <v>41</v>
      </c>
      <c r="C264" s="1" t="s">
        <v>2</v>
      </c>
      <c r="D264" s="1" t="s">
        <v>14</v>
      </c>
      <c r="E264" s="1" t="s">
        <v>82</v>
      </c>
      <c r="F264" s="1" t="s">
        <v>70</v>
      </c>
      <c r="G264" s="1" t="s">
        <v>148</v>
      </c>
      <c r="H264" s="1" t="s">
        <v>158</v>
      </c>
      <c r="I264" s="13"/>
      <c r="J264" s="84">
        <f>J265+J267</f>
        <v>18198899</v>
      </c>
      <c r="K264" s="84">
        <f t="shared" ref="K264:L264" si="144">K265+K267</f>
        <v>18374498.530000001</v>
      </c>
      <c r="L264" s="84">
        <f t="shared" si="144"/>
        <v>18451853.510000002</v>
      </c>
      <c r="M264" s="84">
        <f t="shared" ref="M264:O264" si="145">M265+M267</f>
        <v>0</v>
      </c>
      <c r="N264" s="84">
        <f t="shared" si="145"/>
        <v>0</v>
      </c>
      <c r="O264" s="84">
        <f t="shared" si="145"/>
        <v>0</v>
      </c>
      <c r="P264" s="84">
        <f t="shared" si="116"/>
        <v>18198899</v>
      </c>
      <c r="Q264" s="84">
        <f t="shared" si="117"/>
        <v>18374498.530000001</v>
      </c>
      <c r="R264" s="84">
        <f t="shared" si="118"/>
        <v>18451853.510000002</v>
      </c>
    </row>
    <row r="265" spans="1:18" ht="38.25">
      <c r="A265" s="78" t="s">
        <v>96</v>
      </c>
      <c r="B265" s="1" t="s">
        <v>41</v>
      </c>
      <c r="C265" s="1" t="s">
        <v>2</v>
      </c>
      <c r="D265" s="1" t="s">
        <v>14</v>
      </c>
      <c r="E265" s="1" t="s">
        <v>82</v>
      </c>
      <c r="F265" s="1" t="s">
        <v>70</v>
      </c>
      <c r="G265" s="1" t="s">
        <v>148</v>
      </c>
      <c r="H265" s="1" t="s">
        <v>158</v>
      </c>
      <c r="I265" s="13" t="s">
        <v>92</v>
      </c>
      <c r="J265" s="84">
        <f>J266</f>
        <v>17849899</v>
      </c>
      <c r="K265" s="84">
        <f t="shared" ref="K265:O265" si="146">K266</f>
        <v>18025498.530000001</v>
      </c>
      <c r="L265" s="84">
        <f t="shared" si="146"/>
        <v>18102853.510000002</v>
      </c>
      <c r="M265" s="84">
        <f t="shared" si="146"/>
        <v>0</v>
      </c>
      <c r="N265" s="84">
        <f t="shared" si="146"/>
        <v>0</v>
      </c>
      <c r="O265" s="84">
        <f t="shared" si="146"/>
        <v>0</v>
      </c>
      <c r="P265" s="84">
        <f t="shared" si="116"/>
        <v>17849899</v>
      </c>
      <c r="Q265" s="84">
        <f t="shared" si="117"/>
        <v>18025498.530000001</v>
      </c>
      <c r="R265" s="84">
        <f t="shared" si="118"/>
        <v>18102853.510000002</v>
      </c>
    </row>
    <row r="266" spans="1:18">
      <c r="A266" s="78" t="s">
        <v>103</v>
      </c>
      <c r="B266" s="1" t="s">
        <v>41</v>
      </c>
      <c r="C266" s="1" t="s">
        <v>2</v>
      </c>
      <c r="D266" s="1" t="s">
        <v>14</v>
      </c>
      <c r="E266" s="1" t="s">
        <v>82</v>
      </c>
      <c r="F266" s="1" t="s">
        <v>70</v>
      </c>
      <c r="G266" s="1" t="s">
        <v>148</v>
      </c>
      <c r="H266" s="1" t="s">
        <v>158</v>
      </c>
      <c r="I266" s="13" t="s">
        <v>102</v>
      </c>
      <c r="J266" s="84">
        <v>17849899</v>
      </c>
      <c r="K266" s="84">
        <v>18025498.530000001</v>
      </c>
      <c r="L266" s="84">
        <v>18102853.510000002</v>
      </c>
      <c r="M266" s="84"/>
      <c r="N266" s="84"/>
      <c r="O266" s="84"/>
      <c r="P266" s="84">
        <f t="shared" si="116"/>
        <v>17849899</v>
      </c>
      <c r="Q266" s="84">
        <f t="shared" si="117"/>
        <v>18025498.530000001</v>
      </c>
      <c r="R266" s="84">
        <f t="shared" si="118"/>
        <v>18102853.510000002</v>
      </c>
    </row>
    <row r="267" spans="1:18" ht="25.5">
      <c r="A267" s="80" t="s">
        <v>260</v>
      </c>
      <c r="B267" s="1" t="s">
        <v>41</v>
      </c>
      <c r="C267" s="1" t="s">
        <v>2</v>
      </c>
      <c r="D267" s="1" t="s">
        <v>14</v>
      </c>
      <c r="E267" s="1" t="s">
        <v>82</v>
      </c>
      <c r="F267" s="1" t="s">
        <v>70</v>
      </c>
      <c r="G267" s="1" t="s">
        <v>148</v>
      </c>
      <c r="H267" s="1" t="s">
        <v>158</v>
      </c>
      <c r="I267" s="13" t="s">
        <v>94</v>
      </c>
      <c r="J267" s="84">
        <f>J268</f>
        <v>349000</v>
      </c>
      <c r="K267" s="84">
        <f t="shared" ref="K267:O267" si="147">K268</f>
        <v>349000</v>
      </c>
      <c r="L267" s="84">
        <f t="shared" si="147"/>
        <v>349000</v>
      </c>
      <c r="M267" s="84">
        <f t="shared" si="147"/>
        <v>0</v>
      </c>
      <c r="N267" s="84">
        <f t="shared" si="147"/>
        <v>0</v>
      </c>
      <c r="O267" s="84">
        <f t="shared" si="147"/>
        <v>0</v>
      </c>
      <c r="P267" s="84">
        <f t="shared" si="116"/>
        <v>349000</v>
      </c>
      <c r="Q267" s="84">
        <f t="shared" si="117"/>
        <v>349000</v>
      </c>
      <c r="R267" s="84">
        <f t="shared" si="118"/>
        <v>349000</v>
      </c>
    </row>
    <row r="268" spans="1:18" ht="25.5">
      <c r="A268" s="78" t="s">
        <v>98</v>
      </c>
      <c r="B268" s="1" t="s">
        <v>41</v>
      </c>
      <c r="C268" s="1" t="s">
        <v>2</v>
      </c>
      <c r="D268" s="1" t="s">
        <v>14</v>
      </c>
      <c r="E268" s="1" t="s">
        <v>82</v>
      </c>
      <c r="F268" s="1" t="s">
        <v>70</v>
      </c>
      <c r="G268" s="1" t="s">
        <v>148</v>
      </c>
      <c r="H268" s="1" t="s">
        <v>158</v>
      </c>
      <c r="I268" s="13" t="s">
        <v>95</v>
      </c>
      <c r="J268" s="84">
        <v>349000</v>
      </c>
      <c r="K268" s="84">
        <v>349000</v>
      </c>
      <c r="L268" s="84">
        <v>349000</v>
      </c>
      <c r="M268" s="84"/>
      <c r="N268" s="84"/>
      <c r="O268" s="84"/>
      <c r="P268" s="84">
        <f t="shared" si="116"/>
        <v>349000</v>
      </c>
      <c r="Q268" s="84">
        <f t="shared" si="117"/>
        <v>349000</v>
      </c>
      <c r="R268" s="84">
        <f t="shared" si="118"/>
        <v>349000</v>
      </c>
    </row>
    <row r="269" spans="1:18">
      <c r="A269" s="2"/>
      <c r="B269" s="49"/>
      <c r="C269" s="1"/>
      <c r="D269" s="1"/>
      <c r="E269" s="1"/>
      <c r="F269" s="1"/>
      <c r="G269" s="1"/>
      <c r="H269" s="1"/>
      <c r="I269" s="13"/>
      <c r="J269" s="84"/>
      <c r="K269" s="84"/>
      <c r="L269" s="84"/>
      <c r="M269" s="84"/>
      <c r="N269" s="84"/>
      <c r="O269" s="84"/>
      <c r="P269" s="84"/>
      <c r="Q269" s="84"/>
      <c r="R269" s="84"/>
    </row>
    <row r="270" spans="1:18" ht="15.75">
      <c r="A270" s="25" t="s">
        <v>5</v>
      </c>
      <c r="B270" s="26" t="s">
        <v>41</v>
      </c>
      <c r="C270" s="30" t="s">
        <v>30</v>
      </c>
      <c r="D270" s="1"/>
      <c r="E270" s="1"/>
      <c r="F270" s="1"/>
      <c r="G270" s="1"/>
      <c r="H270" s="1"/>
      <c r="I270" s="13"/>
      <c r="J270" s="111">
        <f>J271+J291</f>
        <v>10040282.41</v>
      </c>
      <c r="K270" s="111">
        <f t="shared" ref="K270:L270" si="148">K271+K291</f>
        <v>10044104.539999999</v>
      </c>
      <c r="L270" s="111">
        <f t="shared" si="148"/>
        <v>10324469.6</v>
      </c>
      <c r="M270" s="111">
        <f t="shared" ref="M270:O270" si="149">M271+M291</f>
        <v>114018.1</v>
      </c>
      <c r="N270" s="111">
        <f t="shared" si="149"/>
        <v>-89112.14</v>
      </c>
      <c r="O270" s="111">
        <f t="shared" si="149"/>
        <v>-370390.75</v>
      </c>
      <c r="P270" s="111">
        <f t="shared" si="116"/>
        <v>10154300.51</v>
      </c>
      <c r="Q270" s="111">
        <f t="shared" si="117"/>
        <v>9954992.3999999985</v>
      </c>
      <c r="R270" s="111">
        <f t="shared" si="118"/>
        <v>9954078.8499999996</v>
      </c>
    </row>
    <row r="271" spans="1:18">
      <c r="A271" s="19" t="s">
        <v>21</v>
      </c>
      <c r="B271" s="14" t="s">
        <v>41</v>
      </c>
      <c r="C271" s="14" t="s">
        <v>30</v>
      </c>
      <c r="D271" s="14" t="s">
        <v>16</v>
      </c>
      <c r="E271" s="14"/>
      <c r="F271" s="14"/>
      <c r="G271" s="14"/>
      <c r="H271" s="1"/>
      <c r="I271" s="13"/>
      <c r="J271" s="112">
        <f>J272</f>
        <v>7243428.5</v>
      </c>
      <c r="K271" s="112">
        <f t="shared" ref="K271:O271" si="150">K272</f>
        <v>7001349.3300000001</v>
      </c>
      <c r="L271" s="112">
        <f t="shared" si="150"/>
        <v>6894631.0600000005</v>
      </c>
      <c r="M271" s="112">
        <f t="shared" si="150"/>
        <v>89010</v>
      </c>
      <c r="N271" s="112">
        <f t="shared" si="150"/>
        <v>0</v>
      </c>
      <c r="O271" s="112">
        <f t="shared" si="150"/>
        <v>0</v>
      </c>
      <c r="P271" s="112">
        <f t="shared" si="116"/>
        <v>7332438.5</v>
      </c>
      <c r="Q271" s="112">
        <f t="shared" si="117"/>
        <v>7001349.3300000001</v>
      </c>
      <c r="R271" s="112">
        <f t="shared" si="118"/>
        <v>6894631.0600000005</v>
      </c>
    </row>
    <row r="272" spans="1:18" ht="25.5">
      <c r="A272" s="2" t="s">
        <v>285</v>
      </c>
      <c r="B272" s="1" t="s">
        <v>41</v>
      </c>
      <c r="C272" s="1" t="s">
        <v>30</v>
      </c>
      <c r="D272" s="1" t="s">
        <v>16</v>
      </c>
      <c r="E272" s="1" t="s">
        <v>20</v>
      </c>
      <c r="F272" s="1" t="s">
        <v>70</v>
      </c>
      <c r="G272" s="1" t="s">
        <v>148</v>
      </c>
      <c r="H272" s="1" t="s">
        <v>149</v>
      </c>
      <c r="I272" s="17"/>
      <c r="J272" s="113">
        <f>J273+J280</f>
        <v>7243428.5</v>
      </c>
      <c r="K272" s="113">
        <f t="shared" ref="K272:L272" si="151">K273+K280</f>
        <v>7001349.3300000001</v>
      </c>
      <c r="L272" s="113">
        <f t="shared" si="151"/>
        <v>6894631.0600000005</v>
      </c>
      <c r="M272" s="113">
        <f t="shared" ref="M272:O272" si="152">M273+M280</f>
        <v>89010</v>
      </c>
      <c r="N272" s="113">
        <f t="shared" si="152"/>
        <v>0</v>
      </c>
      <c r="O272" s="113">
        <f t="shared" si="152"/>
        <v>0</v>
      </c>
      <c r="P272" s="113">
        <f t="shared" si="116"/>
        <v>7332438.5</v>
      </c>
      <c r="Q272" s="113">
        <f t="shared" si="117"/>
        <v>7001349.3300000001</v>
      </c>
      <c r="R272" s="113">
        <f t="shared" si="118"/>
        <v>6894631.0600000005</v>
      </c>
    </row>
    <row r="273" spans="1:18" ht="25.5">
      <c r="A273" s="2" t="s">
        <v>139</v>
      </c>
      <c r="B273" s="1" t="s">
        <v>41</v>
      </c>
      <c r="C273" s="1" t="s">
        <v>30</v>
      </c>
      <c r="D273" s="1" t="s">
        <v>16</v>
      </c>
      <c r="E273" s="1" t="s">
        <v>20</v>
      </c>
      <c r="F273" s="1" t="s">
        <v>127</v>
      </c>
      <c r="G273" s="1" t="s">
        <v>148</v>
      </c>
      <c r="H273" s="1" t="s">
        <v>149</v>
      </c>
      <c r="I273" s="17"/>
      <c r="J273" s="113">
        <f>J277+J274</f>
        <v>2021540</v>
      </c>
      <c r="K273" s="113">
        <f t="shared" ref="K273:O273" si="153">K277+K274</f>
        <v>2046970</v>
      </c>
      <c r="L273" s="113">
        <f t="shared" si="153"/>
        <v>2363360</v>
      </c>
      <c r="M273" s="113">
        <f t="shared" si="153"/>
        <v>50000</v>
      </c>
      <c r="N273" s="113">
        <f t="shared" si="153"/>
        <v>0</v>
      </c>
      <c r="O273" s="113">
        <f t="shared" si="153"/>
        <v>0</v>
      </c>
      <c r="P273" s="113">
        <f t="shared" si="116"/>
        <v>2071540</v>
      </c>
      <c r="Q273" s="113">
        <f t="shared" si="117"/>
        <v>2046970</v>
      </c>
      <c r="R273" s="113">
        <f t="shared" si="118"/>
        <v>2363360</v>
      </c>
    </row>
    <row r="274" spans="1:18" ht="216.75">
      <c r="A274" s="2" t="s">
        <v>428</v>
      </c>
      <c r="B274" s="1" t="s">
        <v>41</v>
      </c>
      <c r="C274" s="1" t="s">
        <v>30</v>
      </c>
      <c r="D274" s="1" t="s">
        <v>16</v>
      </c>
      <c r="E274" s="1" t="s">
        <v>20</v>
      </c>
      <c r="F274" s="1" t="s">
        <v>127</v>
      </c>
      <c r="G274" s="1" t="s">
        <v>148</v>
      </c>
      <c r="H274" s="1" t="s">
        <v>427</v>
      </c>
      <c r="I274" s="17"/>
      <c r="J274" s="113">
        <f>J275</f>
        <v>0</v>
      </c>
      <c r="K274" s="113">
        <f t="shared" ref="K274:O275" si="154">K275</f>
        <v>0</v>
      </c>
      <c r="L274" s="113">
        <f t="shared" si="154"/>
        <v>0</v>
      </c>
      <c r="M274" s="113">
        <f t="shared" si="154"/>
        <v>50000</v>
      </c>
      <c r="N274" s="113">
        <f t="shared" si="154"/>
        <v>0</v>
      </c>
      <c r="O274" s="113">
        <f t="shared" si="154"/>
        <v>0</v>
      </c>
      <c r="P274" s="113">
        <f t="shared" ref="P274:P276" si="155">J274+M274</f>
        <v>50000</v>
      </c>
      <c r="Q274" s="113">
        <f t="shared" ref="Q274:Q276" si="156">K274+N274</f>
        <v>0</v>
      </c>
      <c r="R274" s="113">
        <f t="shared" ref="R274:R276" si="157">L274+O274</f>
        <v>0</v>
      </c>
    </row>
    <row r="275" spans="1:18" ht="25.5">
      <c r="A275" s="9" t="s">
        <v>72</v>
      </c>
      <c r="B275" s="1" t="s">
        <v>41</v>
      </c>
      <c r="C275" s="1" t="s">
        <v>30</v>
      </c>
      <c r="D275" s="1" t="s">
        <v>16</v>
      </c>
      <c r="E275" s="1" t="s">
        <v>20</v>
      </c>
      <c r="F275" s="1" t="s">
        <v>127</v>
      </c>
      <c r="G275" s="1" t="s">
        <v>148</v>
      </c>
      <c r="H275" s="1" t="s">
        <v>427</v>
      </c>
      <c r="I275" s="129" t="s">
        <v>71</v>
      </c>
      <c r="J275" s="113">
        <f>J276</f>
        <v>0</v>
      </c>
      <c r="K275" s="113">
        <f t="shared" si="154"/>
        <v>0</v>
      </c>
      <c r="L275" s="113">
        <f t="shared" si="154"/>
        <v>0</v>
      </c>
      <c r="M275" s="113">
        <f t="shared" si="154"/>
        <v>50000</v>
      </c>
      <c r="N275" s="113">
        <f t="shared" si="154"/>
        <v>0</v>
      </c>
      <c r="O275" s="113">
        <f t="shared" si="154"/>
        <v>0</v>
      </c>
      <c r="P275" s="113">
        <f t="shared" si="155"/>
        <v>50000</v>
      </c>
      <c r="Q275" s="113">
        <f t="shared" si="156"/>
        <v>0</v>
      </c>
      <c r="R275" s="113">
        <f t="shared" si="157"/>
        <v>0</v>
      </c>
    </row>
    <row r="276" spans="1:18">
      <c r="A276" s="9" t="s">
        <v>75</v>
      </c>
      <c r="B276" s="1" t="s">
        <v>41</v>
      </c>
      <c r="C276" s="1" t="s">
        <v>30</v>
      </c>
      <c r="D276" s="1" t="s">
        <v>16</v>
      </c>
      <c r="E276" s="1" t="s">
        <v>20</v>
      </c>
      <c r="F276" s="1" t="s">
        <v>127</v>
      </c>
      <c r="G276" s="1" t="s">
        <v>148</v>
      </c>
      <c r="H276" s="1" t="s">
        <v>427</v>
      </c>
      <c r="I276" s="129" t="s">
        <v>74</v>
      </c>
      <c r="J276" s="113"/>
      <c r="K276" s="113"/>
      <c r="L276" s="113"/>
      <c r="M276" s="113">
        <v>50000</v>
      </c>
      <c r="N276" s="113"/>
      <c r="O276" s="113"/>
      <c r="P276" s="113">
        <f t="shared" si="155"/>
        <v>50000</v>
      </c>
      <c r="Q276" s="113">
        <f t="shared" si="156"/>
        <v>0</v>
      </c>
      <c r="R276" s="113">
        <f t="shared" si="157"/>
        <v>0</v>
      </c>
    </row>
    <row r="277" spans="1:18" ht="38.25">
      <c r="A277" s="9" t="s">
        <v>73</v>
      </c>
      <c r="B277" s="1" t="s">
        <v>41</v>
      </c>
      <c r="C277" s="10" t="s">
        <v>30</v>
      </c>
      <c r="D277" s="10" t="s">
        <v>16</v>
      </c>
      <c r="E277" s="1" t="s">
        <v>20</v>
      </c>
      <c r="F277" s="1" t="s">
        <v>127</v>
      </c>
      <c r="G277" s="1" t="s">
        <v>148</v>
      </c>
      <c r="H277" s="10" t="s">
        <v>168</v>
      </c>
      <c r="I277" s="17"/>
      <c r="J277" s="113">
        <f t="shared" ref="J277:O278" si="158">J278</f>
        <v>2021540</v>
      </c>
      <c r="K277" s="113">
        <f t="shared" si="158"/>
        <v>2046970</v>
      </c>
      <c r="L277" s="113">
        <f t="shared" si="158"/>
        <v>2363360</v>
      </c>
      <c r="M277" s="113">
        <f t="shared" si="158"/>
        <v>0</v>
      </c>
      <c r="N277" s="113">
        <f t="shared" si="158"/>
        <v>0</v>
      </c>
      <c r="O277" s="113">
        <f t="shared" si="158"/>
        <v>0</v>
      </c>
      <c r="P277" s="113">
        <f t="shared" si="116"/>
        <v>2021540</v>
      </c>
      <c r="Q277" s="113">
        <f t="shared" si="117"/>
        <v>2046970</v>
      </c>
      <c r="R277" s="113">
        <f t="shared" si="118"/>
        <v>2363360</v>
      </c>
    </row>
    <row r="278" spans="1:18" ht="25.5">
      <c r="A278" s="9" t="s">
        <v>72</v>
      </c>
      <c r="B278" s="1" t="s">
        <v>41</v>
      </c>
      <c r="C278" s="10" t="s">
        <v>30</v>
      </c>
      <c r="D278" s="10" t="s">
        <v>16</v>
      </c>
      <c r="E278" s="1" t="s">
        <v>20</v>
      </c>
      <c r="F278" s="1" t="s">
        <v>127</v>
      </c>
      <c r="G278" s="1" t="s">
        <v>148</v>
      </c>
      <c r="H278" s="10" t="s">
        <v>168</v>
      </c>
      <c r="I278" s="17" t="s">
        <v>71</v>
      </c>
      <c r="J278" s="113">
        <f t="shared" si="158"/>
        <v>2021540</v>
      </c>
      <c r="K278" s="113">
        <f t="shared" si="158"/>
        <v>2046970</v>
      </c>
      <c r="L278" s="113">
        <f t="shared" si="158"/>
        <v>2363360</v>
      </c>
      <c r="M278" s="113">
        <f t="shared" si="158"/>
        <v>0</v>
      </c>
      <c r="N278" s="113">
        <f t="shared" si="158"/>
        <v>0</v>
      </c>
      <c r="O278" s="113">
        <f t="shared" si="158"/>
        <v>0</v>
      </c>
      <c r="P278" s="113">
        <f t="shared" si="116"/>
        <v>2021540</v>
      </c>
      <c r="Q278" s="113">
        <f t="shared" si="117"/>
        <v>2046970</v>
      </c>
      <c r="R278" s="113">
        <f t="shared" si="118"/>
        <v>2363360</v>
      </c>
    </row>
    <row r="279" spans="1:18">
      <c r="A279" s="9" t="s">
        <v>75</v>
      </c>
      <c r="B279" s="1" t="s">
        <v>41</v>
      </c>
      <c r="C279" s="10" t="s">
        <v>30</v>
      </c>
      <c r="D279" s="10" t="s">
        <v>16</v>
      </c>
      <c r="E279" s="1" t="s">
        <v>20</v>
      </c>
      <c r="F279" s="1" t="s">
        <v>127</v>
      </c>
      <c r="G279" s="1" t="s">
        <v>148</v>
      </c>
      <c r="H279" s="10" t="s">
        <v>168</v>
      </c>
      <c r="I279" s="17" t="s">
        <v>74</v>
      </c>
      <c r="J279" s="113">
        <v>2021540</v>
      </c>
      <c r="K279" s="113">
        <v>2046970</v>
      </c>
      <c r="L279" s="113">
        <v>2363360</v>
      </c>
      <c r="M279" s="113"/>
      <c r="N279" s="113"/>
      <c r="O279" s="113"/>
      <c r="P279" s="113">
        <f t="shared" si="116"/>
        <v>2021540</v>
      </c>
      <c r="Q279" s="113">
        <f t="shared" si="117"/>
        <v>2046970</v>
      </c>
      <c r="R279" s="113">
        <f t="shared" si="118"/>
        <v>2363360</v>
      </c>
    </row>
    <row r="280" spans="1:18" s="88" customFormat="1" ht="25.5">
      <c r="A280" s="157" t="s">
        <v>280</v>
      </c>
      <c r="B280" s="1" t="s">
        <v>41</v>
      </c>
      <c r="C280" s="10" t="s">
        <v>30</v>
      </c>
      <c r="D280" s="10" t="s">
        <v>16</v>
      </c>
      <c r="E280" s="1" t="s">
        <v>20</v>
      </c>
      <c r="F280" s="75" t="s">
        <v>134</v>
      </c>
      <c r="G280" s="75" t="s">
        <v>148</v>
      </c>
      <c r="H280" s="105" t="s">
        <v>149</v>
      </c>
      <c r="I280" s="106"/>
      <c r="J280" s="117">
        <f>J287+J284+J281</f>
        <v>5221888.5</v>
      </c>
      <c r="K280" s="117">
        <f t="shared" ref="K280:O280" si="159">K287+K284+K281</f>
        <v>4954379.33</v>
      </c>
      <c r="L280" s="117">
        <f t="shared" si="159"/>
        <v>4531271.0600000005</v>
      </c>
      <c r="M280" s="117">
        <f t="shared" si="159"/>
        <v>39010</v>
      </c>
      <c r="N280" s="117">
        <f t="shared" si="159"/>
        <v>0</v>
      </c>
      <c r="O280" s="117">
        <f t="shared" si="159"/>
        <v>0</v>
      </c>
      <c r="P280" s="117">
        <f t="shared" ref="P280:P345" si="160">J280+M280</f>
        <v>5260898.5</v>
      </c>
      <c r="Q280" s="117">
        <f t="shared" ref="Q280:Q345" si="161">K280+N280</f>
        <v>4954379.33</v>
      </c>
      <c r="R280" s="117">
        <f t="shared" ref="R280:R345" si="162">L280+O280</f>
        <v>4531271.0600000005</v>
      </c>
    </row>
    <row r="281" spans="1:18" ht="216.75">
      <c r="A281" s="2" t="s">
        <v>428</v>
      </c>
      <c r="B281" s="1" t="s">
        <v>41</v>
      </c>
      <c r="C281" s="1" t="s">
        <v>30</v>
      </c>
      <c r="D281" s="1" t="s">
        <v>16</v>
      </c>
      <c r="E281" s="1" t="s">
        <v>20</v>
      </c>
      <c r="F281" s="1" t="s">
        <v>134</v>
      </c>
      <c r="G281" s="1" t="s">
        <v>148</v>
      </c>
      <c r="H281" s="1" t="s">
        <v>427</v>
      </c>
      <c r="I281" s="17"/>
      <c r="J281" s="113">
        <f>J282</f>
        <v>0</v>
      </c>
      <c r="K281" s="113">
        <f t="shared" ref="K281:K282" si="163">K282</f>
        <v>0</v>
      </c>
      <c r="L281" s="113">
        <f t="shared" ref="L281:L282" si="164">L282</f>
        <v>0</v>
      </c>
      <c r="M281" s="113">
        <f t="shared" ref="M281:M282" si="165">M282</f>
        <v>39010</v>
      </c>
      <c r="N281" s="113">
        <f t="shared" ref="N281:N282" si="166">N282</f>
        <v>0</v>
      </c>
      <c r="O281" s="113">
        <f t="shared" ref="O281:O282" si="167">O282</f>
        <v>0</v>
      </c>
      <c r="P281" s="113">
        <f t="shared" si="160"/>
        <v>39010</v>
      </c>
      <c r="Q281" s="113">
        <f t="shared" si="161"/>
        <v>0</v>
      </c>
      <c r="R281" s="113">
        <f t="shared" si="162"/>
        <v>0</v>
      </c>
    </row>
    <row r="282" spans="1:18" ht="25.5">
      <c r="A282" s="9" t="s">
        <v>72</v>
      </c>
      <c r="B282" s="1" t="s">
        <v>41</v>
      </c>
      <c r="C282" s="1" t="s">
        <v>30</v>
      </c>
      <c r="D282" s="1" t="s">
        <v>16</v>
      </c>
      <c r="E282" s="1" t="s">
        <v>20</v>
      </c>
      <c r="F282" s="1" t="s">
        <v>134</v>
      </c>
      <c r="G282" s="1" t="s">
        <v>148</v>
      </c>
      <c r="H282" s="1" t="s">
        <v>427</v>
      </c>
      <c r="I282" s="129" t="s">
        <v>71</v>
      </c>
      <c r="J282" s="113">
        <f>J283</f>
        <v>0</v>
      </c>
      <c r="K282" s="113">
        <f t="shared" si="163"/>
        <v>0</v>
      </c>
      <c r="L282" s="113">
        <f t="shared" si="164"/>
        <v>0</v>
      </c>
      <c r="M282" s="113">
        <f t="shared" si="165"/>
        <v>39010</v>
      </c>
      <c r="N282" s="113">
        <f t="shared" si="166"/>
        <v>0</v>
      </c>
      <c r="O282" s="113">
        <f t="shared" si="167"/>
        <v>0</v>
      </c>
      <c r="P282" s="113">
        <f t="shared" si="160"/>
        <v>39010</v>
      </c>
      <c r="Q282" s="113">
        <f t="shared" si="161"/>
        <v>0</v>
      </c>
      <c r="R282" s="113">
        <f t="shared" si="162"/>
        <v>0</v>
      </c>
    </row>
    <row r="283" spans="1:18">
      <c r="A283" s="9" t="s">
        <v>75</v>
      </c>
      <c r="B283" s="1" t="s">
        <v>41</v>
      </c>
      <c r="C283" s="1" t="s">
        <v>30</v>
      </c>
      <c r="D283" s="1" t="s">
        <v>16</v>
      </c>
      <c r="E283" s="1" t="s">
        <v>20</v>
      </c>
      <c r="F283" s="1" t="s">
        <v>134</v>
      </c>
      <c r="G283" s="1" t="s">
        <v>148</v>
      </c>
      <c r="H283" s="1" t="s">
        <v>427</v>
      </c>
      <c r="I283" s="129" t="s">
        <v>74</v>
      </c>
      <c r="J283" s="113"/>
      <c r="K283" s="113"/>
      <c r="L283" s="113"/>
      <c r="M283" s="113">
        <v>39010</v>
      </c>
      <c r="N283" s="113"/>
      <c r="O283" s="113"/>
      <c r="P283" s="113">
        <f t="shared" si="160"/>
        <v>39010</v>
      </c>
      <c r="Q283" s="113">
        <f t="shared" si="161"/>
        <v>0</v>
      </c>
      <c r="R283" s="113">
        <f t="shared" si="162"/>
        <v>0</v>
      </c>
    </row>
    <row r="284" spans="1:18" s="88" customFormat="1" ht="51">
      <c r="A284" s="73" t="s">
        <v>297</v>
      </c>
      <c r="B284" s="66" t="s">
        <v>41</v>
      </c>
      <c r="C284" s="10" t="s">
        <v>30</v>
      </c>
      <c r="D284" s="10" t="s">
        <v>16</v>
      </c>
      <c r="E284" s="1" t="s">
        <v>20</v>
      </c>
      <c r="F284" s="1" t="s">
        <v>134</v>
      </c>
      <c r="G284" s="1" t="s">
        <v>148</v>
      </c>
      <c r="H284" s="1" t="s">
        <v>238</v>
      </c>
      <c r="I284" s="76"/>
      <c r="J284" s="141">
        <f>J285</f>
        <v>4546188.5</v>
      </c>
      <c r="K284" s="141">
        <f t="shared" ref="K284:O285" si="168">K285</f>
        <v>4277929.33</v>
      </c>
      <c r="L284" s="141">
        <f t="shared" si="168"/>
        <v>3854311.06</v>
      </c>
      <c r="M284" s="141">
        <f t="shared" si="168"/>
        <v>0</v>
      </c>
      <c r="N284" s="141">
        <f t="shared" si="168"/>
        <v>0</v>
      </c>
      <c r="O284" s="141">
        <f t="shared" si="168"/>
        <v>0</v>
      </c>
      <c r="P284" s="141">
        <f t="shared" si="160"/>
        <v>4546188.5</v>
      </c>
      <c r="Q284" s="141">
        <f t="shared" si="161"/>
        <v>4277929.33</v>
      </c>
      <c r="R284" s="141">
        <f t="shared" si="162"/>
        <v>3854311.06</v>
      </c>
    </row>
    <row r="285" spans="1:18" s="88" customFormat="1" ht="25.5">
      <c r="A285" s="7" t="s">
        <v>72</v>
      </c>
      <c r="B285" s="66" t="s">
        <v>41</v>
      </c>
      <c r="C285" s="10" t="s">
        <v>30</v>
      </c>
      <c r="D285" s="10" t="s">
        <v>16</v>
      </c>
      <c r="E285" s="1" t="s">
        <v>20</v>
      </c>
      <c r="F285" s="1" t="s">
        <v>134</v>
      </c>
      <c r="G285" s="1" t="s">
        <v>148</v>
      </c>
      <c r="H285" s="1" t="s">
        <v>238</v>
      </c>
      <c r="I285" s="76" t="s">
        <v>71</v>
      </c>
      <c r="J285" s="141">
        <f>J286</f>
        <v>4546188.5</v>
      </c>
      <c r="K285" s="141">
        <f t="shared" si="168"/>
        <v>4277929.33</v>
      </c>
      <c r="L285" s="141">
        <f t="shared" si="168"/>
        <v>3854311.06</v>
      </c>
      <c r="M285" s="141">
        <f t="shared" si="168"/>
        <v>0</v>
      </c>
      <c r="N285" s="141">
        <f t="shared" si="168"/>
        <v>0</v>
      </c>
      <c r="O285" s="141">
        <f t="shared" si="168"/>
        <v>0</v>
      </c>
      <c r="P285" s="141">
        <f t="shared" si="160"/>
        <v>4546188.5</v>
      </c>
      <c r="Q285" s="141">
        <f t="shared" si="161"/>
        <v>4277929.33</v>
      </c>
      <c r="R285" s="141">
        <f t="shared" si="162"/>
        <v>3854311.06</v>
      </c>
    </row>
    <row r="286" spans="1:18">
      <c r="A286" s="11" t="s">
        <v>75</v>
      </c>
      <c r="B286" s="66" t="s">
        <v>41</v>
      </c>
      <c r="C286" s="10" t="s">
        <v>30</v>
      </c>
      <c r="D286" s="10" t="s">
        <v>16</v>
      </c>
      <c r="E286" s="1" t="s">
        <v>20</v>
      </c>
      <c r="F286" s="1" t="s">
        <v>134</v>
      </c>
      <c r="G286" s="1" t="s">
        <v>148</v>
      </c>
      <c r="H286" s="1" t="s">
        <v>238</v>
      </c>
      <c r="I286" s="76" t="s">
        <v>74</v>
      </c>
      <c r="J286" s="141">
        <f>4541660.5+4528</f>
        <v>4546188.5</v>
      </c>
      <c r="K286" s="141">
        <f>4273401.33+4528</f>
        <v>4277929.33</v>
      </c>
      <c r="L286" s="141">
        <f>3849783.06+4528</f>
        <v>3854311.06</v>
      </c>
      <c r="M286" s="141"/>
      <c r="N286" s="141"/>
      <c r="O286" s="141"/>
      <c r="P286" s="141">
        <f t="shared" si="160"/>
        <v>4546188.5</v>
      </c>
      <c r="Q286" s="141">
        <f t="shared" si="161"/>
        <v>4277929.33</v>
      </c>
      <c r="R286" s="141">
        <f t="shared" si="162"/>
        <v>3854311.06</v>
      </c>
    </row>
    <row r="287" spans="1:18" ht="38.25">
      <c r="A287" s="104" t="s">
        <v>193</v>
      </c>
      <c r="B287" s="1" t="s">
        <v>41</v>
      </c>
      <c r="C287" s="10" t="s">
        <v>30</v>
      </c>
      <c r="D287" s="10" t="s">
        <v>16</v>
      </c>
      <c r="E287" s="1" t="s">
        <v>20</v>
      </c>
      <c r="F287" s="75" t="s">
        <v>134</v>
      </c>
      <c r="G287" s="75" t="s">
        <v>148</v>
      </c>
      <c r="H287" s="133" t="s">
        <v>209</v>
      </c>
      <c r="I287" s="106"/>
      <c r="J287" s="117">
        <f t="shared" ref="J287:O288" si="169">J288</f>
        <v>675700</v>
      </c>
      <c r="K287" s="117">
        <f t="shared" si="169"/>
        <v>676450</v>
      </c>
      <c r="L287" s="117">
        <f t="shared" si="169"/>
        <v>676960</v>
      </c>
      <c r="M287" s="117">
        <f t="shared" si="169"/>
        <v>0</v>
      </c>
      <c r="N287" s="117">
        <f t="shared" si="169"/>
        <v>0</v>
      </c>
      <c r="O287" s="117">
        <f t="shared" si="169"/>
        <v>0</v>
      </c>
      <c r="P287" s="117">
        <f t="shared" si="160"/>
        <v>675700</v>
      </c>
      <c r="Q287" s="117">
        <f t="shared" si="161"/>
        <v>676450</v>
      </c>
      <c r="R287" s="117">
        <f t="shared" si="162"/>
        <v>676960</v>
      </c>
    </row>
    <row r="288" spans="1:18" ht="25.5">
      <c r="A288" s="9" t="s">
        <v>72</v>
      </c>
      <c r="B288" s="1" t="s">
        <v>41</v>
      </c>
      <c r="C288" s="10" t="s">
        <v>30</v>
      </c>
      <c r="D288" s="10" t="s">
        <v>16</v>
      </c>
      <c r="E288" s="1" t="s">
        <v>20</v>
      </c>
      <c r="F288" s="75" t="s">
        <v>134</v>
      </c>
      <c r="G288" s="75" t="s">
        <v>148</v>
      </c>
      <c r="H288" s="133" t="s">
        <v>209</v>
      </c>
      <c r="I288" s="106" t="s">
        <v>71</v>
      </c>
      <c r="J288" s="117">
        <f t="shared" si="169"/>
        <v>675700</v>
      </c>
      <c r="K288" s="117">
        <f t="shared" si="169"/>
        <v>676450</v>
      </c>
      <c r="L288" s="117">
        <f t="shared" si="169"/>
        <v>676960</v>
      </c>
      <c r="M288" s="117">
        <f t="shared" si="169"/>
        <v>0</v>
      </c>
      <c r="N288" s="117">
        <f t="shared" si="169"/>
        <v>0</v>
      </c>
      <c r="O288" s="117">
        <f t="shared" si="169"/>
        <v>0</v>
      </c>
      <c r="P288" s="117">
        <f t="shared" si="160"/>
        <v>675700</v>
      </c>
      <c r="Q288" s="117">
        <f t="shared" si="161"/>
        <v>676450</v>
      </c>
      <c r="R288" s="117">
        <f t="shared" si="162"/>
        <v>676960</v>
      </c>
    </row>
    <row r="289" spans="1:18">
      <c r="A289" s="9" t="s">
        <v>75</v>
      </c>
      <c r="B289" s="1" t="s">
        <v>41</v>
      </c>
      <c r="C289" s="10" t="s">
        <v>30</v>
      </c>
      <c r="D289" s="10" t="s">
        <v>16</v>
      </c>
      <c r="E289" s="1" t="s">
        <v>20</v>
      </c>
      <c r="F289" s="75" t="s">
        <v>134</v>
      </c>
      <c r="G289" s="75" t="s">
        <v>148</v>
      </c>
      <c r="H289" s="133" t="s">
        <v>209</v>
      </c>
      <c r="I289" s="106" t="s">
        <v>74</v>
      </c>
      <c r="J289" s="117">
        <f>175700+500000</f>
        <v>675700</v>
      </c>
      <c r="K289" s="117">
        <f>176450+500000</f>
        <v>676450</v>
      </c>
      <c r="L289" s="117">
        <f>176960+500000</f>
        <v>676960</v>
      </c>
      <c r="M289" s="117"/>
      <c r="N289" s="117"/>
      <c r="O289" s="117"/>
      <c r="P289" s="117">
        <f t="shared" si="160"/>
        <v>675700</v>
      </c>
      <c r="Q289" s="117">
        <f t="shared" si="161"/>
        <v>676450</v>
      </c>
      <c r="R289" s="117">
        <f t="shared" si="162"/>
        <v>676960</v>
      </c>
    </row>
    <row r="290" spans="1:18">
      <c r="A290" s="77"/>
      <c r="B290" s="74"/>
      <c r="C290" s="75"/>
      <c r="D290" s="75"/>
      <c r="E290" s="75"/>
      <c r="F290" s="75"/>
      <c r="G290" s="75"/>
      <c r="H290" s="75"/>
      <c r="I290" s="76"/>
      <c r="J290" s="114"/>
      <c r="K290" s="114"/>
      <c r="L290" s="114"/>
      <c r="M290" s="114"/>
      <c r="N290" s="114"/>
      <c r="O290" s="114"/>
      <c r="P290" s="114"/>
      <c r="Q290" s="114"/>
      <c r="R290" s="114"/>
    </row>
    <row r="291" spans="1:18">
      <c r="A291" s="19" t="s">
        <v>59</v>
      </c>
      <c r="B291" s="14" t="s">
        <v>41</v>
      </c>
      <c r="C291" s="14" t="s">
        <v>30</v>
      </c>
      <c r="D291" s="14" t="s">
        <v>3</v>
      </c>
      <c r="E291" s="14"/>
      <c r="F291" s="14"/>
      <c r="G291" s="14"/>
      <c r="H291" s="1"/>
      <c r="I291" s="13"/>
      <c r="J291" s="112">
        <f>J292</f>
        <v>2796853.9099999997</v>
      </c>
      <c r="K291" s="112">
        <f t="shared" ref="K291:O291" si="170">K292</f>
        <v>3042755.21</v>
      </c>
      <c r="L291" s="112">
        <f t="shared" si="170"/>
        <v>3429838.5399999996</v>
      </c>
      <c r="M291" s="112">
        <f t="shared" si="170"/>
        <v>25008.1</v>
      </c>
      <c r="N291" s="112">
        <f t="shared" si="170"/>
        <v>-89112.14</v>
      </c>
      <c r="O291" s="112">
        <f t="shared" si="170"/>
        <v>-370390.75</v>
      </c>
      <c r="P291" s="112">
        <f t="shared" si="160"/>
        <v>2821862.01</v>
      </c>
      <c r="Q291" s="112">
        <f t="shared" si="161"/>
        <v>2953643.07</v>
      </c>
      <c r="R291" s="112">
        <f t="shared" si="162"/>
        <v>3059447.7899999996</v>
      </c>
    </row>
    <row r="292" spans="1:18">
      <c r="A292" s="7" t="s">
        <v>83</v>
      </c>
      <c r="B292" s="1" t="s">
        <v>41</v>
      </c>
      <c r="C292" s="1" t="s">
        <v>30</v>
      </c>
      <c r="D292" s="1" t="s">
        <v>3</v>
      </c>
      <c r="E292" s="1" t="s">
        <v>82</v>
      </c>
      <c r="F292" s="1" t="s">
        <v>70</v>
      </c>
      <c r="G292" s="1" t="s">
        <v>148</v>
      </c>
      <c r="H292" s="1" t="s">
        <v>149</v>
      </c>
      <c r="I292" s="13"/>
      <c r="J292" s="84">
        <f>J296+J293</f>
        <v>2796853.9099999997</v>
      </c>
      <c r="K292" s="84">
        <f t="shared" ref="K292:L292" si="171">K296+K293</f>
        <v>3042755.21</v>
      </c>
      <c r="L292" s="84">
        <f t="shared" si="171"/>
        <v>3429838.5399999996</v>
      </c>
      <c r="M292" s="84">
        <f t="shared" ref="M292:O292" si="172">M296+M293</f>
        <v>25008.1</v>
      </c>
      <c r="N292" s="84">
        <f t="shared" si="172"/>
        <v>-89112.14</v>
      </c>
      <c r="O292" s="84">
        <f t="shared" si="172"/>
        <v>-370390.75</v>
      </c>
      <c r="P292" s="84">
        <f t="shared" si="160"/>
        <v>2821862.01</v>
      </c>
      <c r="Q292" s="84">
        <f t="shared" si="161"/>
        <v>2953643.07</v>
      </c>
      <c r="R292" s="84">
        <f t="shared" si="162"/>
        <v>3059447.7899999996</v>
      </c>
    </row>
    <row r="293" spans="1:18" ht="25.5">
      <c r="A293" s="2" t="s">
        <v>58</v>
      </c>
      <c r="B293" s="1" t="s">
        <v>41</v>
      </c>
      <c r="C293" s="1" t="s">
        <v>30</v>
      </c>
      <c r="D293" s="1" t="s">
        <v>3</v>
      </c>
      <c r="E293" s="75" t="s">
        <v>82</v>
      </c>
      <c r="F293" s="75" t="s">
        <v>70</v>
      </c>
      <c r="G293" s="75" t="s">
        <v>148</v>
      </c>
      <c r="H293" s="75" t="s">
        <v>169</v>
      </c>
      <c r="I293" s="76"/>
      <c r="J293" s="114">
        <f>J294</f>
        <v>71379.360000000001</v>
      </c>
      <c r="K293" s="114">
        <f t="shared" ref="K293:O294" si="173">K294</f>
        <v>74234.53</v>
      </c>
      <c r="L293" s="114">
        <f t="shared" si="173"/>
        <v>74234.53</v>
      </c>
      <c r="M293" s="114">
        <f t="shared" si="173"/>
        <v>0</v>
      </c>
      <c r="N293" s="114">
        <f t="shared" si="173"/>
        <v>0</v>
      </c>
      <c r="O293" s="114">
        <f t="shared" si="173"/>
        <v>0</v>
      </c>
      <c r="P293" s="114">
        <f t="shared" si="160"/>
        <v>71379.360000000001</v>
      </c>
      <c r="Q293" s="114">
        <f t="shared" si="161"/>
        <v>74234.53</v>
      </c>
      <c r="R293" s="114">
        <f t="shared" si="162"/>
        <v>74234.53</v>
      </c>
    </row>
    <row r="294" spans="1:18">
      <c r="A294" s="9" t="s">
        <v>100</v>
      </c>
      <c r="B294" s="1" t="s">
        <v>41</v>
      </c>
      <c r="C294" s="1" t="s">
        <v>30</v>
      </c>
      <c r="D294" s="1" t="s">
        <v>3</v>
      </c>
      <c r="E294" s="75" t="s">
        <v>82</v>
      </c>
      <c r="F294" s="75" t="s">
        <v>70</v>
      </c>
      <c r="G294" s="75" t="s">
        <v>148</v>
      </c>
      <c r="H294" s="75" t="s">
        <v>169</v>
      </c>
      <c r="I294" s="76" t="s">
        <v>99</v>
      </c>
      <c r="J294" s="114">
        <f>J295</f>
        <v>71379.360000000001</v>
      </c>
      <c r="K294" s="114">
        <f t="shared" si="173"/>
        <v>74234.53</v>
      </c>
      <c r="L294" s="114">
        <f t="shared" si="173"/>
        <v>74234.53</v>
      </c>
      <c r="M294" s="114">
        <f t="shared" si="173"/>
        <v>0</v>
      </c>
      <c r="N294" s="114">
        <f t="shared" si="173"/>
        <v>0</v>
      </c>
      <c r="O294" s="114">
        <f t="shared" si="173"/>
        <v>0</v>
      </c>
      <c r="P294" s="114">
        <f t="shared" si="160"/>
        <v>71379.360000000001</v>
      </c>
      <c r="Q294" s="114">
        <f t="shared" si="161"/>
        <v>74234.53</v>
      </c>
      <c r="R294" s="114">
        <f t="shared" si="162"/>
        <v>74234.53</v>
      </c>
    </row>
    <row r="295" spans="1:18" ht="25.5">
      <c r="A295" s="123" t="s">
        <v>106</v>
      </c>
      <c r="B295" s="1" t="s">
        <v>41</v>
      </c>
      <c r="C295" s="1" t="s">
        <v>30</v>
      </c>
      <c r="D295" s="1" t="s">
        <v>3</v>
      </c>
      <c r="E295" s="75" t="s">
        <v>82</v>
      </c>
      <c r="F295" s="75" t="s">
        <v>70</v>
      </c>
      <c r="G295" s="75" t="s">
        <v>148</v>
      </c>
      <c r="H295" s="75" t="s">
        <v>169</v>
      </c>
      <c r="I295" s="76" t="s">
        <v>107</v>
      </c>
      <c r="J295" s="114">
        <v>71379.360000000001</v>
      </c>
      <c r="K295" s="114">
        <v>74234.53</v>
      </c>
      <c r="L295" s="114">
        <v>74234.53</v>
      </c>
      <c r="M295" s="114"/>
      <c r="N295" s="114"/>
      <c r="O295" s="114"/>
      <c r="P295" s="114">
        <f t="shared" si="160"/>
        <v>71379.360000000001</v>
      </c>
      <c r="Q295" s="114">
        <f t="shared" si="161"/>
        <v>74234.53</v>
      </c>
      <c r="R295" s="114">
        <f t="shared" si="162"/>
        <v>74234.53</v>
      </c>
    </row>
    <row r="296" spans="1:18" ht="51">
      <c r="A296" s="11" t="s">
        <v>242</v>
      </c>
      <c r="B296" s="1" t="s">
        <v>41</v>
      </c>
      <c r="C296" s="1" t="s">
        <v>30</v>
      </c>
      <c r="D296" s="1" t="s">
        <v>3</v>
      </c>
      <c r="E296" s="1" t="s">
        <v>82</v>
      </c>
      <c r="F296" s="1" t="s">
        <v>70</v>
      </c>
      <c r="G296" s="1" t="s">
        <v>148</v>
      </c>
      <c r="H296" s="1" t="s">
        <v>219</v>
      </c>
      <c r="I296" s="13"/>
      <c r="J296" s="84">
        <f>J297+J299</f>
        <v>2725474.55</v>
      </c>
      <c r="K296" s="84">
        <f t="shared" ref="K296:L296" si="174">K297+K299</f>
        <v>2968520.68</v>
      </c>
      <c r="L296" s="84">
        <f t="shared" si="174"/>
        <v>3355604.01</v>
      </c>
      <c r="M296" s="84">
        <f t="shared" ref="M296:O296" si="175">M297+M299</f>
        <v>25008.1</v>
      </c>
      <c r="N296" s="84">
        <f t="shared" si="175"/>
        <v>-89112.14</v>
      </c>
      <c r="O296" s="84">
        <f t="shared" si="175"/>
        <v>-370390.75</v>
      </c>
      <c r="P296" s="84">
        <f t="shared" si="160"/>
        <v>2750482.65</v>
      </c>
      <c r="Q296" s="84">
        <f t="shared" si="161"/>
        <v>2879408.54</v>
      </c>
      <c r="R296" s="84">
        <f t="shared" si="162"/>
        <v>2985213.26</v>
      </c>
    </row>
    <row r="297" spans="1:18" ht="38.25">
      <c r="A297" s="78" t="s">
        <v>96</v>
      </c>
      <c r="B297" s="1" t="s">
        <v>41</v>
      </c>
      <c r="C297" s="1" t="s">
        <v>30</v>
      </c>
      <c r="D297" s="1" t="s">
        <v>3</v>
      </c>
      <c r="E297" s="1" t="s">
        <v>82</v>
      </c>
      <c r="F297" s="1" t="s">
        <v>70</v>
      </c>
      <c r="G297" s="75" t="s">
        <v>148</v>
      </c>
      <c r="H297" s="1" t="s">
        <v>219</v>
      </c>
      <c r="I297" s="76" t="s">
        <v>92</v>
      </c>
      <c r="J297" s="114">
        <f>J298</f>
        <v>2550474.5499999998</v>
      </c>
      <c r="K297" s="114">
        <f t="shared" ref="K297:O297" si="176">K298</f>
        <v>2793520.68</v>
      </c>
      <c r="L297" s="114">
        <f t="shared" si="176"/>
        <v>3180604.01</v>
      </c>
      <c r="M297" s="114">
        <f t="shared" si="176"/>
        <v>25008.1</v>
      </c>
      <c r="N297" s="114">
        <f t="shared" si="176"/>
        <v>-89112.14</v>
      </c>
      <c r="O297" s="114">
        <f t="shared" si="176"/>
        <v>-370390.75</v>
      </c>
      <c r="P297" s="114">
        <f t="shared" si="160"/>
        <v>2575482.65</v>
      </c>
      <c r="Q297" s="114">
        <f t="shared" si="161"/>
        <v>2704408.54</v>
      </c>
      <c r="R297" s="114">
        <f t="shared" si="162"/>
        <v>2810213.26</v>
      </c>
    </row>
    <row r="298" spans="1:18">
      <c r="A298" s="78" t="s">
        <v>103</v>
      </c>
      <c r="B298" s="1" t="s">
        <v>41</v>
      </c>
      <c r="C298" s="1" t="s">
        <v>30</v>
      </c>
      <c r="D298" s="1" t="s">
        <v>3</v>
      </c>
      <c r="E298" s="1" t="s">
        <v>82</v>
      </c>
      <c r="F298" s="1" t="s">
        <v>70</v>
      </c>
      <c r="G298" s="75" t="s">
        <v>148</v>
      </c>
      <c r="H298" s="1" t="s">
        <v>219</v>
      </c>
      <c r="I298" s="76" t="s">
        <v>102</v>
      </c>
      <c r="J298" s="114">
        <f>2500474.55+50000</f>
        <v>2550474.5499999998</v>
      </c>
      <c r="K298" s="114">
        <f>2743520.68+50000</f>
        <v>2793520.68</v>
      </c>
      <c r="L298" s="114">
        <f>3130604.01+50000</f>
        <v>3180604.01</v>
      </c>
      <c r="M298" s="114">
        <v>25008.1</v>
      </c>
      <c r="N298" s="114">
        <v>-89112.14</v>
      </c>
      <c r="O298" s="114">
        <v>-370390.75</v>
      </c>
      <c r="P298" s="114">
        <f t="shared" si="160"/>
        <v>2575482.65</v>
      </c>
      <c r="Q298" s="114">
        <f t="shared" si="161"/>
        <v>2704408.54</v>
      </c>
      <c r="R298" s="114">
        <f t="shared" si="162"/>
        <v>2810213.26</v>
      </c>
    </row>
    <row r="299" spans="1:18" ht="25.5">
      <c r="A299" s="80" t="s">
        <v>260</v>
      </c>
      <c r="B299" s="1" t="s">
        <v>41</v>
      </c>
      <c r="C299" s="1" t="s">
        <v>30</v>
      </c>
      <c r="D299" s="1" t="s">
        <v>3</v>
      </c>
      <c r="E299" s="1" t="s">
        <v>82</v>
      </c>
      <c r="F299" s="1" t="s">
        <v>70</v>
      </c>
      <c r="G299" s="75" t="s">
        <v>148</v>
      </c>
      <c r="H299" s="1" t="s">
        <v>219</v>
      </c>
      <c r="I299" s="76" t="s">
        <v>94</v>
      </c>
      <c r="J299" s="114">
        <f>J300</f>
        <v>175000</v>
      </c>
      <c r="K299" s="114">
        <f t="shared" ref="K299:O299" si="177">K300</f>
        <v>175000</v>
      </c>
      <c r="L299" s="114">
        <f t="shared" si="177"/>
        <v>175000</v>
      </c>
      <c r="M299" s="114">
        <f t="shared" si="177"/>
        <v>0</v>
      </c>
      <c r="N299" s="114">
        <f t="shared" si="177"/>
        <v>0</v>
      </c>
      <c r="O299" s="114">
        <f t="shared" si="177"/>
        <v>0</v>
      </c>
      <c r="P299" s="114">
        <f t="shared" si="160"/>
        <v>175000</v>
      </c>
      <c r="Q299" s="114">
        <f t="shared" si="161"/>
        <v>175000</v>
      </c>
      <c r="R299" s="114">
        <f t="shared" si="162"/>
        <v>175000</v>
      </c>
    </row>
    <row r="300" spans="1:18" ht="25.5">
      <c r="A300" s="78" t="s">
        <v>98</v>
      </c>
      <c r="B300" s="1" t="s">
        <v>41</v>
      </c>
      <c r="C300" s="1" t="s">
        <v>30</v>
      </c>
      <c r="D300" s="1" t="s">
        <v>3</v>
      </c>
      <c r="E300" s="1" t="s">
        <v>82</v>
      </c>
      <c r="F300" s="1" t="s">
        <v>70</v>
      </c>
      <c r="G300" s="75" t="s">
        <v>148</v>
      </c>
      <c r="H300" s="1" t="s">
        <v>219</v>
      </c>
      <c r="I300" s="76" t="s">
        <v>95</v>
      </c>
      <c r="J300" s="114">
        <v>175000</v>
      </c>
      <c r="K300" s="114">
        <v>175000</v>
      </c>
      <c r="L300" s="114">
        <v>175000</v>
      </c>
      <c r="M300" s="114"/>
      <c r="N300" s="114"/>
      <c r="O300" s="114"/>
      <c r="P300" s="114">
        <f t="shared" si="160"/>
        <v>175000</v>
      </c>
      <c r="Q300" s="114">
        <f t="shared" si="161"/>
        <v>175000</v>
      </c>
      <c r="R300" s="114">
        <f t="shared" si="162"/>
        <v>175000</v>
      </c>
    </row>
    <row r="301" spans="1:18">
      <c r="A301" s="78"/>
      <c r="B301" s="1"/>
      <c r="C301" s="1"/>
      <c r="D301" s="1"/>
      <c r="E301" s="1"/>
      <c r="F301" s="1"/>
      <c r="G301" s="75"/>
      <c r="H301" s="1"/>
      <c r="I301" s="76"/>
      <c r="J301" s="114"/>
      <c r="K301" s="114"/>
      <c r="L301" s="114"/>
      <c r="M301" s="114"/>
      <c r="N301" s="114"/>
      <c r="O301" s="114"/>
      <c r="P301" s="114"/>
      <c r="Q301" s="114"/>
      <c r="R301" s="114"/>
    </row>
    <row r="302" spans="1:18" s="152" customFormat="1" ht="38.25">
      <c r="A302" s="148" t="s">
        <v>407</v>
      </c>
      <c r="B302" s="149" t="s">
        <v>272</v>
      </c>
      <c r="C302" s="160"/>
      <c r="D302" s="160"/>
      <c r="E302" s="160"/>
      <c r="F302" s="160"/>
      <c r="G302" s="160"/>
      <c r="H302" s="150"/>
      <c r="I302" s="161"/>
      <c r="J302" s="151">
        <f>J303+J318+J325</f>
        <v>16372812</v>
      </c>
      <c r="K302" s="151">
        <f t="shared" ref="K302:L302" si="178">K303+K318+K325</f>
        <v>16138282.58</v>
      </c>
      <c r="L302" s="151">
        <f t="shared" si="178"/>
        <v>16285421.079999998</v>
      </c>
      <c r="M302" s="151">
        <f t="shared" ref="M302:O302" si="179">M303+M318+M325</f>
        <v>494267</v>
      </c>
      <c r="N302" s="151">
        <f t="shared" si="179"/>
        <v>-109962.32</v>
      </c>
      <c r="O302" s="151">
        <f t="shared" si="179"/>
        <v>-114360.81</v>
      </c>
      <c r="P302" s="151">
        <f t="shared" si="160"/>
        <v>16867079</v>
      </c>
      <c r="Q302" s="151">
        <f t="shared" si="161"/>
        <v>16028320.26</v>
      </c>
      <c r="R302" s="151">
        <f t="shared" si="162"/>
        <v>16171060.269999998</v>
      </c>
    </row>
    <row r="303" spans="1:18" ht="15.75">
      <c r="A303" s="25" t="s">
        <v>32</v>
      </c>
      <c r="B303" s="144" t="s">
        <v>272</v>
      </c>
      <c r="C303" s="145" t="s">
        <v>20</v>
      </c>
      <c r="D303" s="145"/>
      <c r="E303" s="145"/>
      <c r="F303" s="145"/>
      <c r="G303" s="145"/>
      <c r="H303" s="145"/>
      <c r="I303" s="146"/>
      <c r="J303" s="147">
        <f>J304</f>
        <v>11915079</v>
      </c>
      <c r="K303" s="147">
        <f t="shared" ref="K303:O304" si="180">K304</f>
        <v>12026760.26</v>
      </c>
      <c r="L303" s="147">
        <f t="shared" si="180"/>
        <v>12039557.869999999</v>
      </c>
      <c r="M303" s="147">
        <f t="shared" si="180"/>
        <v>0</v>
      </c>
      <c r="N303" s="147">
        <f t="shared" si="180"/>
        <v>0</v>
      </c>
      <c r="O303" s="147">
        <f t="shared" si="180"/>
        <v>0</v>
      </c>
      <c r="P303" s="147">
        <f t="shared" si="160"/>
        <v>11915079</v>
      </c>
      <c r="Q303" s="147">
        <f t="shared" si="161"/>
        <v>12026760.26</v>
      </c>
      <c r="R303" s="147">
        <f t="shared" si="162"/>
        <v>12039557.869999999</v>
      </c>
    </row>
    <row r="304" spans="1:18">
      <c r="A304" s="4" t="s">
        <v>1</v>
      </c>
      <c r="B304" s="14" t="s">
        <v>272</v>
      </c>
      <c r="C304" s="14" t="s">
        <v>20</v>
      </c>
      <c r="D304" s="14" t="s">
        <v>49</v>
      </c>
      <c r="E304" s="14"/>
      <c r="F304" s="14"/>
      <c r="G304" s="14"/>
      <c r="H304" s="1"/>
      <c r="I304" s="13"/>
      <c r="J304" s="112">
        <f>J305</f>
        <v>11915079</v>
      </c>
      <c r="K304" s="112">
        <f t="shared" si="180"/>
        <v>12026760.26</v>
      </c>
      <c r="L304" s="112">
        <f t="shared" si="180"/>
        <v>12039557.869999999</v>
      </c>
      <c r="M304" s="112">
        <f t="shared" si="180"/>
        <v>0</v>
      </c>
      <c r="N304" s="112">
        <f t="shared" si="180"/>
        <v>0</v>
      </c>
      <c r="O304" s="112">
        <f t="shared" si="180"/>
        <v>0</v>
      </c>
      <c r="P304" s="112">
        <f t="shared" si="160"/>
        <v>11915079</v>
      </c>
      <c r="Q304" s="112">
        <f t="shared" si="161"/>
        <v>12026760.26</v>
      </c>
      <c r="R304" s="112">
        <f t="shared" si="162"/>
        <v>12039557.869999999</v>
      </c>
    </row>
    <row r="305" spans="1:18" ht="38.25">
      <c r="A305" s="2" t="s">
        <v>287</v>
      </c>
      <c r="B305" s="1" t="s">
        <v>272</v>
      </c>
      <c r="C305" s="1" t="s">
        <v>20</v>
      </c>
      <c r="D305" s="1" t="s">
        <v>49</v>
      </c>
      <c r="E305" s="1" t="s">
        <v>14</v>
      </c>
      <c r="F305" s="1" t="s">
        <v>70</v>
      </c>
      <c r="G305" s="1" t="s">
        <v>148</v>
      </c>
      <c r="H305" s="1" t="s">
        <v>149</v>
      </c>
      <c r="I305" s="13"/>
      <c r="J305" s="84">
        <f>J306+J314+J311</f>
        <v>11915079</v>
      </c>
      <c r="K305" s="84">
        <f t="shared" ref="K305:L305" si="181">K306+K314+K311</f>
        <v>12026760.26</v>
      </c>
      <c r="L305" s="84">
        <f t="shared" si="181"/>
        <v>12039557.869999999</v>
      </c>
      <c r="M305" s="84">
        <f t="shared" ref="M305:O305" si="182">M306+M314+M311</f>
        <v>0</v>
      </c>
      <c r="N305" s="84">
        <f t="shared" si="182"/>
        <v>0</v>
      </c>
      <c r="O305" s="84">
        <f t="shared" si="182"/>
        <v>0</v>
      </c>
      <c r="P305" s="84">
        <f t="shared" si="160"/>
        <v>11915079</v>
      </c>
      <c r="Q305" s="84">
        <f t="shared" si="161"/>
        <v>12026760.26</v>
      </c>
      <c r="R305" s="84">
        <f t="shared" si="162"/>
        <v>12039557.869999999</v>
      </c>
    </row>
    <row r="306" spans="1:18" ht="25.5">
      <c r="A306" s="11" t="s">
        <v>87</v>
      </c>
      <c r="B306" s="1" t="s">
        <v>272</v>
      </c>
      <c r="C306" s="1" t="s">
        <v>20</v>
      </c>
      <c r="D306" s="1" t="s">
        <v>49</v>
      </c>
      <c r="E306" s="1" t="s">
        <v>14</v>
      </c>
      <c r="F306" s="1" t="s">
        <v>70</v>
      </c>
      <c r="G306" s="1" t="s">
        <v>148</v>
      </c>
      <c r="H306" s="1" t="s">
        <v>158</v>
      </c>
      <c r="I306" s="13"/>
      <c r="J306" s="84">
        <f>J307+J309</f>
        <v>11773079</v>
      </c>
      <c r="K306" s="84">
        <f t="shared" ref="K306:L306" si="183">K307+K309</f>
        <v>11884760.26</v>
      </c>
      <c r="L306" s="84">
        <f t="shared" si="183"/>
        <v>11897557.869999999</v>
      </c>
      <c r="M306" s="84">
        <f t="shared" ref="M306:O306" si="184">M307+M309</f>
        <v>0</v>
      </c>
      <c r="N306" s="84">
        <f t="shared" si="184"/>
        <v>0</v>
      </c>
      <c r="O306" s="84">
        <f t="shared" si="184"/>
        <v>0</v>
      </c>
      <c r="P306" s="84">
        <f t="shared" si="160"/>
        <v>11773079</v>
      </c>
      <c r="Q306" s="84">
        <f t="shared" si="161"/>
        <v>11884760.26</v>
      </c>
      <c r="R306" s="84">
        <f t="shared" si="162"/>
        <v>11897557.869999999</v>
      </c>
    </row>
    <row r="307" spans="1:18" ht="38.25">
      <c r="A307" s="78" t="s">
        <v>96</v>
      </c>
      <c r="B307" s="1" t="s">
        <v>272</v>
      </c>
      <c r="C307" s="1" t="s">
        <v>20</v>
      </c>
      <c r="D307" s="1" t="s">
        <v>49</v>
      </c>
      <c r="E307" s="1" t="s">
        <v>14</v>
      </c>
      <c r="F307" s="1" t="s">
        <v>70</v>
      </c>
      <c r="G307" s="1" t="s">
        <v>148</v>
      </c>
      <c r="H307" s="1" t="s">
        <v>158</v>
      </c>
      <c r="I307" s="13" t="s">
        <v>92</v>
      </c>
      <c r="J307" s="84">
        <f>J308</f>
        <v>11393079</v>
      </c>
      <c r="K307" s="84">
        <f t="shared" ref="K307:O307" si="185">K308</f>
        <v>11504760.26</v>
      </c>
      <c r="L307" s="84">
        <f t="shared" si="185"/>
        <v>11517557.869999999</v>
      </c>
      <c r="M307" s="84">
        <f t="shared" si="185"/>
        <v>0</v>
      </c>
      <c r="N307" s="84">
        <f t="shared" si="185"/>
        <v>0</v>
      </c>
      <c r="O307" s="84">
        <f t="shared" si="185"/>
        <v>0</v>
      </c>
      <c r="P307" s="84">
        <f t="shared" si="160"/>
        <v>11393079</v>
      </c>
      <c r="Q307" s="84">
        <f t="shared" si="161"/>
        <v>11504760.26</v>
      </c>
      <c r="R307" s="84">
        <f t="shared" si="162"/>
        <v>11517557.869999999</v>
      </c>
    </row>
    <row r="308" spans="1:18">
      <c r="A308" s="78" t="s">
        <v>103</v>
      </c>
      <c r="B308" s="1" t="s">
        <v>272</v>
      </c>
      <c r="C308" s="1" t="s">
        <v>20</v>
      </c>
      <c r="D308" s="1" t="s">
        <v>49</v>
      </c>
      <c r="E308" s="1" t="s">
        <v>14</v>
      </c>
      <c r="F308" s="1" t="s">
        <v>70</v>
      </c>
      <c r="G308" s="1" t="s">
        <v>148</v>
      </c>
      <c r="H308" s="1" t="s">
        <v>158</v>
      </c>
      <c r="I308" s="13" t="s">
        <v>102</v>
      </c>
      <c r="J308" s="84">
        <v>11393079</v>
      </c>
      <c r="K308" s="84">
        <v>11504760.26</v>
      </c>
      <c r="L308" s="84">
        <v>11517557.869999999</v>
      </c>
      <c r="M308" s="84"/>
      <c r="N308" s="84"/>
      <c r="O308" s="84"/>
      <c r="P308" s="84">
        <f t="shared" si="160"/>
        <v>11393079</v>
      </c>
      <c r="Q308" s="84">
        <f t="shared" si="161"/>
        <v>11504760.26</v>
      </c>
      <c r="R308" s="84">
        <f t="shared" si="162"/>
        <v>11517557.869999999</v>
      </c>
    </row>
    <row r="309" spans="1:18" ht="25.5">
      <c r="A309" s="80" t="s">
        <v>260</v>
      </c>
      <c r="B309" s="1" t="s">
        <v>272</v>
      </c>
      <c r="C309" s="1" t="s">
        <v>20</v>
      </c>
      <c r="D309" s="1" t="s">
        <v>49</v>
      </c>
      <c r="E309" s="1" t="s">
        <v>14</v>
      </c>
      <c r="F309" s="1" t="s">
        <v>70</v>
      </c>
      <c r="G309" s="1" t="s">
        <v>148</v>
      </c>
      <c r="H309" s="1" t="s">
        <v>158</v>
      </c>
      <c r="I309" s="13" t="s">
        <v>94</v>
      </c>
      <c r="J309" s="84">
        <f>J310</f>
        <v>380000</v>
      </c>
      <c r="K309" s="84">
        <f t="shared" ref="K309:O309" si="186">K310</f>
        <v>380000</v>
      </c>
      <c r="L309" s="84">
        <f t="shared" si="186"/>
        <v>380000</v>
      </c>
      <c r="M309" s="84">
        <f t="shared" si="186"/>
        <v>0</v>
      </c>
      <c r="N309" s="84">
        <f t="shared" si="186"/>
        <v>0</v>
      </c>
      <c r="O309" s="84">
        <f t="shared" si="186"/>
        <v>0</v>
      </c>
      <c r="P309" s="84">
        <f t="shared" si="160"/>
        <v>380000</v>
      </c>
      <c r="Q309" s="84">
        <f t="shared" si="161"/>
        <v>380000</v>
      </c>
      <c r="R309" s="84">
        <f t="shared" si="162"/>
        <v>380000</v>
      </c>
    </row>
    <row r="310" spans="1:18" ht="25.5">
      <c r="A310" s="78" t="s">
        <v>98</v>
      </c>
      <c r="B310" s="1" t="s">
        <v>272</v>
      </c>
      <c r="C310" s="1" t="s">
        <v>20</v>
      </c>
      <c r="D310" s="1" t="s">
        <v>49</v>
      </c>
      <c r="E310" s="1" t="s">
        <v>14</v>
      </c>
      <c r="F310" s="1" t="s">
        <v>70</v>
      </c>
      <c r="G310" s="1" t="s">
        <v>148</v>
      </c>
      <c r="H310" s="1" t="s">
        <v>158</v>
      </c>
      <c r="I310" s="13" t="s">
        <v>95</v>
      </c>
      <c r="J310" s="84">
        <v>380000</v>
      </c>
      <c r="K310" s="84">
        <v>380000</v>
      </c>
      <c r="L310" s="84">
        <v>380000</v>
      </c>
      <c r="M310" s="84"/>
      <c r="N310" s="84"/>
      <c r="O310" s="84"/>
      <c r="P310" s="84">
        <f t="shared" si="160"/>
        <v>380000</v>
      </c>
      <c r="Q310" s="84">
        <f t="shared" si="161"/>
        <v>380000</v>
      </c>
      <c r="R310" s="84">
        <f t="shared" si="162"/>
        <v>380000</v>
      </c>
    </row>
    <row r="311" spans="1:18" ht="25.5">
      <c r="A311" s="78" t="s">
        <v>324</v>
      </c>
      <c r="B311" s="1" t="s">
        <v>272</v>
      </c>
      <c r="C311" s="1" t="s">
        <v>20</v>
      </c>
      <c r="D311" s="1" t="s">
        <v>49</v>
      </c>
      <c r="E311" s="1" t="s">
        <v>14</v>
      </c>
      <c r="F311" s="1" t="s">
        <v>70</v>
      </c>
      <c r="G311" s="1" t="s">
        <v>148</v>
      </c>
      <c r="H311" s="1" t="s">
        <v>323</v>
      </c>
      <c r="I311" s="13"/>
      <c r="J311" s="84">
        <f>J312</f>
        <v>100000</v>
      </c>
      <c r="K311" s="84">
        <f t="shared" ref="K311:O312" si="187">K312</f>
        <v>100000</v>
      </c>
      <c r="L311" s="84">
        <f t="shared" si="187"/>
        <v>100000</v>
      </c>
      <c r="M311" s="84">
        <f t="shared" si="187"/>
        <v>0</v>
      </c>
      <c r="N311" s="84">
        <f t="shared" si="187"/>
        <v>0</v>
      </c>
      <c r="O311" s="84">
        <f t="shared" si="187"/>
        <v>0</v>
      </c>
      <c r="P311" s="84">
        <f t="shared" si="160"/>
        <v>100000</v>
      </c>
      <c r="Q311" s="84">
        <f t="shared" si="161"/>
        <v>100000</v>
      </c>
      <c r="R311" s="84">
        <f t="shared" si="162"/>
        <v>100000</v>
      </c>
    </row>
    <row r="312" spans="1:18" ht="25.5">
      <c r="A312" s="80" t="s">
        <v>260</v>
      </c>
      <c r="B312" s="1" t="s">
        <v>272</v>
      </c>
      <c r="C312" s="1" t="s">
        <v>20</v>
      </c>
      <c r="D312" s="1" t="s">
        <v>49</v>
      </c>
      <c r="E312" s="1" t="s">
        <v>14</v>
      </c>
      <c r="F312" s="1" t="s">
        <v>70</v>
      </c>
      <c r="G312" s="1" t="s">
        <v>148</v>
      </c>
      <c r="H312" s="1" t="s">
        <v>323</v>
      </c>
      <c r="I312" s="13" t="s">
        <v>94</v>
      </c>
      <c r="J312" s="84">
        <f>J313</f>
        <v>100000</v>
      </c>
      <c r="K312" s="84">
        <f t="shared" si="187"/>
        <v>100000</v>
      </c>
      <c r="L312" s="84">
        <f t="shared" si="187"/>
        <v>100000</v>
      </c>
      <c r="M312" s="84">
        <f t="shared" si="187"/>
        <v>0</v>
      </c>
      <c r="N312" s="84">
        <f t="shared" si="187"/>
        <v>0</v>
      </c>
      <c r="O312" s="84">
        <f t="shared" si="187"/>
        <v>0</v>
      </c>
      <c r="P312" s="84">
        <f t="shared" si="160"/>
        <v>100000</v>
      </c>
      <c r="Q312" s="84">
        <f t="shared" si="161"/>
        <v>100000</v>
      </c>
      <c r="R312" s="84">
        <f t="shared" si="162"/>
        <v>100000</v>
      </c>
    </row>
    <row r="313" spans="1:18" ht="25.5">
      <c r="A313" s="78" t="s">
        <v>98</v>
      </c>
      <c r="B313" s="1" t="s">
        <v>272</v>
      </c>
      <c r="C313" s="1" t="s">
        <v>20</v>
      </c>
      <c r="D313" s="1" t="s">
        <v>49</v>
      </c>
      <c r="E313" s="1" t="s">
        <v>14</v>
      </c>
      <c r="F313" s="1" t="s">
        <v>70</v>
      </c>
      <c r="G313" s="1" t="s">
        <v>148</v>
      </c>
      <c r="H313" s="1" t="s">
        <v>323</v>
      </c>
      <c r="I313" s="13" t="s">
        <v>95</v>
      </c>
      <c r="J313" s="84">
        <v>100000</v>
      </c>
      <c r="K313" s="84">
        <v>100000</v>
      </c>
      <c r="L313" s="84">
        <v>100000</v>
      </c>
      <c r="M313" s="84"/>
      <c r="N313" s="84"/>
      <c r="O313" s="84"/>
      <c r="P313" s="84">
        <f t="shared" si="160"/>
        <v>100000</v>
      </c>
      <c r="Q313" s="84">
        <f t="shared" si="161"/>
        <v>100000</v>
      </c>
      <c r="R313" s="84">
        <f t="shared" si="162"/>
        <v>100000</v>
      </c>
    </row>
    <row r="314" spans="1:18" ht="42" customHeight="1">
      <c r="A314" s="2" t="s">
        <v>52</v>
      </c>
      <c r="B314" s="1" t="s">
        <v>272</v>
      </c>
      <c r="C314" s="1" t="s">
        <v>20</v>
      </c>
      <c r="D314" s="1" t="s">
        <v>49</v>
      </c>
      <c r="E314" s="1" t="s">
        <v>14</v>
      </c>
      <c r="F314" s="1" t="s">
        <v>70</v>
      </c>
      <c r="G314" s="1" t="s">
        <v>148</v>
      </c>
      <c r="H314" s="1" t="s">
        <v>175</v>
      </c>
      <c r="I314" s="13"/>
      <c r="J314" s="84">
        <f>J315</f>
        <v>42000</v>
      </c>
      <c r="K314" s="84">
        <f t="shared" ref="K314:O315" si="188">K315</f>
        <v>42000</v>
      </c>
      <c r="L314" s="84">
        <f t="shared" si="188"/>
        <v>42000</v>
      </c>
      <c r="M314" s="84">
        <f t="shared" si="188"/>
        <v>0</v>
      </c>
      <c r="N314" s="84">
        <f t="shared" si="188"/>
        <v>0</v>
      </c>
      <c r="O314" s="84">
        <f t="shared" si="188"/>
        <v>0</v>
      </c>
      <c r="P314" s="84">
        <f t="shared" si="160"/>
        <v>42000</v>
      </c>
      <c r="Q314" s="84">
        <f t="shared" si="161"/>
        <v>42000</v>
      </c>
      <c r="R314" s="84">
        <f t="shared" si="162"/>
        <v>42000</v>
      </c>
    </row>
    <row r="315" spans="1:18" ht="25.5">
      <c r="A315" s="80" t="s">
        <v>260</v>
      </c>
      <c r="B315" s="1" t="s">
        <v>272</v>
      </c>
      <c r="C315" s="1" t="s">
        <v>20</v>
      </c>
      <c r="D315" s="1" t="s">
        <v>49</v>
      </c>
      <c r="E315" s="1" t="s">
        <v>14</v>
      </c>
      <c r="F315" s="1" t="s">
        <v>70</v>
      </c>
      <c r="G315" s="1" t="s">
        <v>148</v>
      </c>
      <c r="H315" s="1" t="s">
        <v>175</v>
      </c>
      <c r="I315" s="13" t="s">
        <v>94</v>
      </c>
      <c r="J315" s="84">
        <f>J316</f>
        <v>42000</v>
      </c>
      <c r="K315" s="84">
        <f t="shared" si="188"/>
        <v>42000</v>
      </c>
      <c r="L315" s="84">
        <f t="shared" si="188"/>
        <v>42000</v>
      </c>
      <c r="M315" s="84">
        <f t="shared" si="188"/>
        <v>0</v>
      </c>
      <c r="N315" s="84">
        <f t="shared" si="188"/>
        <v>0</v>
      </c>
      <c r="O315" s="84">
        <f t="shared" si="188"/>
        <v>0</v>
      </c>
      <c r="P315" s="84">
        <f t="shared" si="160"/>
        <v>42000</v>
      </c>
      <c r="Q315" s="84">
        <f t="shared" si="161"/>
        <v>42000</v>
      </c>
      <c r="R315" s="84">
        <f t="shared" si="162"/>
        <v>42000</v>
      </c>
    </row>
    <row r="316" spans="1:18" ht="25.5">
      <c r="A316" s="78" t="s">
        <v>98</v>
      </c>
      <c r="B316" s="1" t="s">
        <v>272</v>
      </c>
      <c r="C316" s="1" t="s">
        <v>20</v>
      </c>
      <c r="D316" s="1" t="s">
        <v>49</v>
      </c>
      <c r="E316" s="1" t="s">
        <v>14</v>
      </c>
      <c r="F316" s="1" t="s">
        <v>70</v>
      </c>
      <c r="G316" s="1" t="s">
        <v>148</v>
      </c>
      <c r="H316" s="1" t="s">
        <v>175</v>
      </c>
      <c r="I316" s="13" t="s">
        <v>95</v>
      </c>
      <c r="J316" s="84">
        <v>42000</v>
      </c>
      <c r="K316" s="84">
        <v>42000</v>
      </c>
      <c r="L316" s="84">
        <v>42000</v>
      </c>
      <c r="M316" s="84"/>
      <c r="N316" s="84"/>
      <c r="O316" s="84"/>
      <c r="P316" s="84">
        <f t="shared" si="160"/>
        <v>42000</v>
      </c>
      <c r="Q316" s="84">
        <f t="shared" si="161"/>
        <v>42000</v>
      </c>
      <c r="R316" s="84">
        <f t="shared" si="162"/>
        <v>42000</v>
      </c>
    </row>
    <row r="317" spans="1:18">
      <c r="A317" s="78"/>
      <c r="B317" s="1"/>
      <c r="C317" s="1"/>
      <c r="D317" s="1"/>
      <c r="E317" s="1"/>
      <c r="F317" s="1"/>
      <c r="G317" s="1"/>
      <c r="H317" s="1"/>
      <c r="I317" s="13"/>
      <c r="J317" s="84"/>
      <c r="K317" s="84"/>
      <c r="L317" s="84"/>
      <c r="M317" s="84"/>
      <c r="N317" s="84"/>
      <c r="O317" s="84"/>
      <c r="P317" s="84"/>
      <c r="Q317" s="84"/>
      <c r="R317" s="84"/>
    </row>
    <row r="318" spans="1:18" ht="15.75">
      <c r="A318" s="25" t="s">
        <v>15</v>
      </c>
      <c r="B318" s="28" t="s">
        <v>272</v>
      </c>
      <c r="C318" s="28" t="s">
        <v>16</v>
      </c>
      <c r="D318" s="3"/>
      <c r="E318" s="3"/>
      <c r="F318" s="3"/>
      <c r="G318" s="3"/>
      <c r="H318" s="3"/>
      <c r="I318" s="16"/>
      <c r="J318" s="111">
        <f>J319</f>
        <v>290000</v>
      </c>
      <c r="K318" s="111">
        <f t="shared" ref="K318:O322" si="189">K319</f>
        <v>70000</v>
      </c>
      <c r="L318" s="111">
        <f t="shared" si="189"/>
        <v>290000</v>
      </c>
      <c r="M318" s="111">
        <f t="shared" si="189"/>
        <v>0</v>
      </c>
      <c r="N318" s="111">
        <f t="shared" si="189"/>
        <v>0</v>
      </c>
      <c r="O318" s="111">
        <f t="shared" si="189"/>
        <v>0</v>
      </c>
      <c r="P318" s="111">
        <f t="shared" si="160"/>
        <v>290000</v>
      </c>
      <c r="Q318" s="111">
        <f t="shared" si="161"/>
        <v>70000</v>
      </c>
      <c r="R318" s="111">
        <f t="shared" si="162"/>
        <v>290000</v>
      </c>
    </row>
    <row r="319" spans="1:18">
      <c r="A319" s="4" t="s">
        <v>37</v>
      </c>
      <c r="B319" s="58" t="s">
        <v>272</v>
      </c>
      <c r="C319" s="58" t="s">
        <v>16</v>
      </c>
      <c r="D319" s="58" t="s">
        <v>31</v>
      </c>
      <c r="E319" s="3"/>
      <c r="F319" s="3"/>
      <c r="G319" s="3"/>
      <c r="H319" s="3"/>
      <c r="I319" s="16"/>
      <c r="J319" s="112">
        <f>J320</f>
        <v>290000</v>
      </c>
      <c r="K319" s="112">
        <f t="shared" si="189"/>
        <v>70000</v>
      </c>
      <c r="L319" s="112">
        <f t="shared" si="189"/>
        <v>290000</v>
      </c>
      <c r="M319" s="112">
        <f t="shared" si="189"/>
        <v>0</v>
      </c>
      <c r="N319" s="112">
        <f t="shared" si="189"/>
        <v>0</v>
      </c>
      <c r="O319" s="112">
        <f t="shared" si="189"/>
        <v>0</v>
      </c>
      <c r="P319" s="112">
        <f t="shared" si="160"/>
        <v>290000</v>
      </c>
      <c r="Q319" s="112">
        <f t="shared" si="161"/>
        <v>70000</v>
      </c>
      <c r="R319" s="112">
        <f t="shared" si="162"/>
        <v>290000</v>
      </c>
    </row>
    <row r="320" spans="1:18" ht="38.25">
      <c r="A320" s="2" t="s">
        <v>287</v>
      </c>
      <c r="B320" s="60" t="s">
        <v>272</v>
      </c>
      <c r="C320" s="60" t="s">
        <v>16</v>
      </c>
      <c r="D320" s="60" t="s">
        <v>31</v>
      </c>
      <c r="E320" s="60" t="s">
        <v>14</v>
      </c>
      <c r="F320" s="60" t="s">
        <v>70</v>
      </c>
      <c r="G320" s="60" t="s">
        <v>148</v>
      </c>
      <c r="H320" s="1" t="s">
        <v>149</v>
      </c>
      <c r="I320" s="13"/>
      <c r="J320" s="113">
        <f>J321</f>
        <v>290000</v>
      </c>
      <c r="K320" s="113">
        <f t="shared" si="189"/>
        <v>70000</v>
      </c>
      <c r="L320" s="113">
        <f t="shared" si="189"/>
        <v>290000</v>
      </c>
      <c r="M320" s="113">
        <f t="shared" si="189"/>
        <v>0</v>
      </c>
      <c r="N320" s="113">
        <f t="shared" si="189"/>
        <v>0</v>
      </c>
      <c r="O320" s="113">
        <f t="shared" si="189"/>
        <v>0</v>
      </c>
      <c r="P320" s="113">
        <f t="shared" si="160"/>
        <v>290000</v>
      </c>
      <c r="Q320" s="113">
        <f t="shared" si="161"/>
        <v>70000</v>
      </c>
      <c r="R320" s="113">
        <f t="shared" si="162"/>
        <v>290000</v>
      </c>
    </row>
    <row r="321" spans="1:18">
      <c r="A321" s="7" t="s">
        <v>325</v>
      </c>
      <c r="B321" s="60" t="s">
        <v>272</v>
      </c>
      <c r="C321" s="60" t="s">
        <v>16</v>
      </c>
      <c r="D321" s="60" t="s">
        <v>31</v>
      </c>
      <c r="E321" s="60" t="s">
        <v>14</v>
      </c>
      <c r="F321" s="60" t="s">
        <v>70</v>
      </c>
      <c r="G321" s="60" t="s">
        <v>148</v>
      </c>
      <c r="H321" s="1" t="s">
        <v>268</v>
      </c>
      <c r="I321" s="13"/>
      <c r="J321" s="84">
        <f>J322</f>
        <v>290000</v>
      </c>
      <c r="K321" s="84">
        <f t="shared" si="189"/>
        <v>70000</v>
      </c>
      <c r="L321" s="84">
        <f t="shared" si="189"/>
        <v>290000</v>
      </c>
      <c r="M321" s="84">
        <f t="shared" si="189"/>
        <v>0</v>
      </c>
      <c r="N321" s="84">
        <f t="shared" si="189"/>
        <v>0</v>
      </c>
      <c r="O321" s="84">
        <f t="shared" si="189"/>
        <v>0</v>
      </c>
      <c r="P321" s="84">
        <f t="shared" si="160"/>
        <v>290000</v>
      </c>
      <c r="Q321" s="84">
        <f t="shared" si="161"/>
        <v>70000</v>
      </c>
      <c r="R321" s="84">
        <f t="shared" si="162"/>
        <v>290000</v>
      </c>
    </row>
    <row r="322" spans="1:18" ht="25.5">
      <c r="A322" s="80" t="s">
        <v>260</v>
      </c>
      <c r="B322" s="60" t="s">
        <v>272</v>
      </c>
      <c r="C322" s="60" t="s">
        <v>16</v>
      </c>
      <c r="D322" s="60" t="s">
        <v>31</v>
      </c>
      <c r="E322" s="60" t="s">
        <v>14</v>
      </c>
      <c r="F322" s="60" t="s">
        <v>70</v>
      </c>
      <c r="G322" s="60" t="s">
        <v>148</v>
      </c>
      <c r="H322" s="1" t="s">
        <v>268</v>
      </c>
      <c r="I322" s="13" t="s">
        <v>94</v>
      </c>
      <c r="J322" s="84">
        <f>J323</f>
        <v>290000</v>
      </c>
      <c r="K322" s="84">
        <f t="shared" si="189"/>
        <v>70000</v>
      </c>
      <c r="L322" s="84">
        <f t="shared" si="189"/>
        <v>290000</v>
      </c>
      <c r="M322" s="84">
        <f t="shared" si="189"/>
        <v>0</v>
      </c>
      <c r="N322" s="84">
        <f t="shared" si="189"/>
        <v>0</v>
      </c>
      <c r="O322" s="84">
        <f t="shared" si="189"/>
        <v>0</v>
      </c>
      <c r="P322" s="84">
        <f t="shared" si="160"/>
        <v>290000</v>
      </c>
      <c r="Q322" s="84">
        <f t="shared" si="161"/>
        <v>70000</v>
      </c>
      <c r="R322" s="84">
        <f t="shared" si="162"/>
        <v>290000</v>
      </c>
    </row>
    <row r="323" spans="1:18" ht="25.5">
      <c r="A323" s="78" t="s">
        <v>98</v>
      </c>
      <c r="B323" s="60" t="s">
        <v>272</v>
      </c>
      <c r="C323" s="60" t="s">
        <v>16</v>
      </c>
      <c r="D323" s="60" t="s">
        <v>31</v>
      </c>
      <c r="E323" s="60" t="s">
        <v>14</v>
      </c>
      <c r="F323" s="60" t="s">
        <v>70</v>
      </c>
      <c r="G323" s="60" t="s">
        <v>148</v>
      </c>
      <c r="H323" s="1" t="s">
        <v>268</v>
      </c>
      <c r="I323" s="13" t="s">
        <v>95</v>
      </c>
      <c r="J323" s="84">
        <v>290000</v>
      </c>
      <c r="K323" s="84">
        <v>70000</v>
      </c>
      <c r="L323" s="84">
        <v>290000</v>
      </c>
      <c r="M323" s="84"/>
      <c r="N323" s="84"/>
      <c r="O323" s="84"/>
      <c r="P323" s="84">
        <f t="shared" si="160"/>
        <v>290000</v>
      </c>
      <c r="Q323" s="84">
        <f t="shared" si="161"/>
        <v>70000</v>
      </c>
      <c r="R323" s="84">
        <f t="shared" si="162"/>
        <v>290000</v>
      </c>
    </row>
    <row r="324" spans="1:18">
      <c r="A324" s="123"/>
      <c r="B324" s="74"/>
      <c r="C324" s="75"/>
      <c r="D324" s="75"/>
      <c r="E324" s="75"/>
      <c r="F324" s="75"/>
      <c r="G324" s="75"/>
      <c r="H324" s="75"/>
      <c r="I324" s="76"/>
      <c r="J324" s="114"/>
      <c r="K324" s="114"/>
      <c r="L324" s="114"/>
      <c r="M324" s="114"/>
      <c r="N324" s="114"/>
      <c r="O324" s="114"/>
      <c r="P324" s="114"/>
      <c r="Q324" s="114"/>
      <c r="R324" s="114"/>
    </row>
    <row r="325" spans="1:18" ht="15.75">
      <c r="A325" s="34" t="s">
        <v>46</v>
      </c>
      <c r="B325" s="30" t="s">
        <v>272</v>
      </c>
      <c r="C325" s="30" t="s">
        <v>18</v>
      </c>
      <c r="D325" s="30"/>
      <c r="E325" s="30"/>
      <c r="F325" s="30"/>
      <c r="G325" s="30"/>
      <c r="H325" s="30"/>
      <c r="I325" s="33"/>
      <c r="J325" s="111">
        <f>J326</f>
        <v>4167733</v>
      </c>
      <c r="K325" s="111">
        <f t="shared" ref="K325:O325" si="190">K326</f>
        <v>4041522.32</v>
      </c>
      <c r="L325" s="111">
        <f t="shared" si="190"/>
        <v>3955863.21</v>
      </c>
      <c r="M325" s="111">
        <f t="shared" si="190"/>
        <v>494267</v>
      </c>
      <c r="N325" s="111">
        <f t="shared" si="190"/>
        <v>-109962.32</v>
      </c>
      <c r="O325" s="111">
        <f t="shared" si="190"/>
        <v>-114360.81</v>
      </c>
      <c r="P325" s="111">
        <f t="shared" si="160"/>
        <v>4662000</v>
      </c>
      <c r="Q325" s="111">
        <f t="shared" si="161"/>
        <v>3931560</v>
      </c>
      <c r="R325" s="111">
        <f t="shared" si="162"/>
        <v>3841502.4</v>
      </c>
    </row>
    <row r="326" spans="1:18">
      <c r="A326" s="63" t="s">
        <v>61</v>
      </c>
      <c r="B326" s="15" t="s">
        <v>272</v>
      </c>
      <c r="C326" s="15" t="s">
        <v>18</v>
      </c>
      <c r="D326" s="15" t="s">
        <v>20</v>
      </c>
      <c r="E326" s="15"/>
      <c r="F326" s="15"/>
      <c r="G326" s="15"/>
      <c r="H326" s="15"/>
      <c r="I326" s="27"/>
      <c r="J326" s="112">
        <f>J332+J327</f>
        <v>4167733</v>
      </c>
      <c r="K326" s="112">
        <f>K332+K327</f>
        <v>4041522.32</v>
      </c>
      <c r="L326" s="112">
        <f>L332+L327</f>
        <v>3955863.21</v>
      </c>
      <c r="M326" s="112">
        <f t="shared" ref="M326:O326" si="191">M332+M327</f>
        <v>494267</v>
      </c>
      <c r="N326" s="112">
        <f t="shared" si="191"/>
        <v>-109962.32</v>
      </c>
      <c r="O326" s="112">
        <f t="shared" si="191"/>
        <v>-114360.81</v>
      </c>
      <c r="P326" s="112">
        <f t="shared" si="160"/>
        <v>4662000</v>
      </c>
      <c r="Q326" s="112">
        <f t="shared" si="161"/>
        <v>3931560</v>
      </c>
      <c r="R326" s="112">
        <f t="shared" si="162"/>
        <v>3841502.4</v>
      </c>
    </row>
    <row r="327" spans="1:18" ht="38.25">
      <c r="A327" s="2" t="s">
        <v>289</v>
      </c>
      <c r="B327" s="60" t="s">
        <v>272</v>
      </c>
      <c r="C327" s="60" t="s">
        <v>18</v>
      </c>
      <c r="D327" s="60" t="s">
        <v>20</v>
      </c>
      <c r="E327" s="60" t="s">
        <v>27</v>
      </c>
      <c r="F327" s="60" t="s">
        <v>70</v>
      </c>
      <c r="G327" s="60" t="s">
        <v>148</v>
      </c>
      <c r="H327" s="60" t="s">
        <v>149</v>
      </c>
      <c r="I327" s="129"/>
      <c r="J327" s="84">
        <f>J328</f>
        <v>165000</v>
      </c>
      <c r="K327" s="84">
        <f t="shared" ref="K327:O330" si="192">K328</f>
        <v>100000</v>
      </c>
      <c r="L327" s="84">
        <f t="shared" si="192"/>
        <v>0</v>
      </c>
      <c r="M327" s="84">
        <f t="shared" si="192"/>
        <v>0</v>
      </c>
      <c r="N327" s="84">
        <f t="shared" si="192"/>
        <v>0</v>
      </c>
      <c r="O327" s="84">
        <f t="shared" si="192"/>
        <v>0</v>
      </c>
      <c r="P327" s="84">
        <f t="shared" si="160"/>
        <v>165000</v>
      </c>
      <c r="Q327" s="84">
        <f t="shared" si="161"/>
        <v>100000</v>
      </c>
      <c r="R327" s="84">
        <f t="shared" si="162"/>
        <v>0</v>
      </c>
    </row>
    <row r="328" spans="1:18">
      <c r="A328" s="2" t="s">
        <v>211</v>
      </c>
      <c r="B328" s="60" t="s">
        <v>272</v>
      </c>
      <c r="C328" s="60" t="s">
        <v>18</v>
      </c>
      <c r="D328" s="60" t="s">
        <v>20</v>
      </c>
      <c r="E328" s="60" t="s">
        <v>27</v>
      </c>
      <c r="F328" s="60" t="s">
        <v>44</v>
      </c>
      <c r="G328" s="60" t="s">
        <v>148</v>
      </c>
      <c r="H328" s="60" t="s">
        <v>149</v>
      </c>
      <c r="I328" s="129"/>
      <c r="J328" s="84">
        <f>J329</f>
        <v>165000</v>
      </c>
      <c r="K328" s="84">
        <f t="shared" si="192"/>
        <v>100000</v>
      </c>
      <c r="L328" s="84">
        <f t="shared" si="192"/>
        <v>0</v>
      </c>
      <c r="M328" s="84">
        <f t="shared" si="192"/>
        <v>0</v>
      </c>
      <c r="N328" s="84">
        <f t="shared" si="192"/>
        <v>0</v>
      </c>
      <c r="O328" s="84">
        <f t="shared" si="192"/>
        <v>0</v>
      </c>
      <c r="P328" s="84">
        <f t="shared" si="160"/>
        <v>165000</v>
      </c>
      <c r="Q328" s="84">
        <f t="shared" si="161"/>
        <v>100000</v>
      </c>
      <c r="R328" s="84">
        <f t="shared" si="162"/>
        <v>0</v>
      </c>
    </row>
    <row r="329" spans="1:18" ht="25.5">
      <c r="A329" s="142" t="s">
        <v>212</v>
      </c>
      <c r="B329" s="60" t="s">
        <v>272</v>
      </c>
      <c r="C329" s="60" t="s">
        <v>18</v>
      </c>
      <c r="D329" s="60" t="s">
        <v>20</v>
      </c>
      <c r="E329" s="60" t="s">
        <v>27</v>
      </c>
      <c r="F329" s="60" t="s">
        <v>44</v>
      </c>
      <c r="G329" s="60" t="s">
        <v>148</v>
      </c>
      <c r="H329" s="60" t="s">
        <v>213</v>
      </c>
      <c r="I329" s="129"/>
      <c r="J329" s="84">
        <f>J330</f>
        <v>165000</v>
      </c>
      <c r="K329" s="84">
        <f t="shared" si="192"/>
        <v>100000</v>
      </c>
      <c r="L329" s="84">
        <f t="shared" si="192"/>
        <v>0</v>
      </c>
      <c r="M329" s="84">
        <f t="shared" si="192"/>
        <v>0</v>
      </c>
      <c r="N329" s="84">
        <f t="shared" si="192"/>
        <v>0</v>
      </c>
      <c r="O329" s="84">
        <f t="shared" si="192"/>
        <v>0</v>
      </c>
      <c r="P329" s="84">
        <f t="shared" si="160"/>
        <v>165000</v>
      </c>
      <c r="Q329" s="84">
        <f t="shared" si="161"/>
        <v>100000</v>
      </c>
      <c r="R329" s="84">
        <f t="shared" si="162"/>
        <v>0</v>
      </c>
    </row>
    <row r="330" spans="1:18" ht="25.5">
      <c r="A330" s="80" t="s">
        <v>260</v>
      </c>
      <c r="B330" s="60" t="s">
        <v>272</v>
      </c>
      <c r="C330" s="60" t="s">
        <v>18</v>
      </c>
      <c r="D330" s="60" t="s">
        <v>20</v>
      </c>
      <c r="E330" s="60" t="s">
        <v>27</v>
      </c>
      <c r="F330" s="60" t="s">
        <v>44</v>
      </c>
      <c r="G330" s="60" t="s">
        <v>148</v>
      </c>
      <c r="H330" s="60" t="s">
        <v>213</v>
      </c>
      <c r="I330" s="129" t="s">
        <v>94</v>
      </c>
      <c r="J330" s="84">
        <f>J331</f>
        <v>165000</v>
      </c>
      <c r="K330" s="84">
        <f t="shared" si="192"/>
        <v>100000</v>
      </c>
      <c r="L330" s="84">
        <f t="shared" si="192"/>
        <v>0</v>
      </c>
      <c r="M330" s="84">
        <f t="shared" si="192"/>
        <v>0</v>
      </c>
      <c r="N330" s="84">
        <f t="shared" si="192"/>
        <v>0</v>
      </c>
      <c r="O330" s="84">
        <f t="shared" si="192"/>
        <v>0</v>
      </c>
      <c r="P330" s="84">
        <f t="shared" si="160"/>
        <v>165000</v>
      </c>
      <c r="Q330" s="84">
        <f t="shared" si="161"/>
        <v>100000</v>
      </c>
      <c r="R330" s="84">
        <f t="shared" si="162"/>
        <v>0</v>
      </c>
    </row>
    <row r="331" spans="1:18" ht="25.5">
      <c r="A331" s="78" t="s">
        <v>98</v>
      </c>
      <c r="B331" s="60" t="s">
        <v>272</v>
      </c>
      <c r="C331" s="60" t="s">
        <v>18</v>
      </c>
      <c r="D331" s="60" t="s">
        <v>20</v>
      </c>
      <c r="E331" s="60" t="s">
        <v>27</v>
      </c>
      <c r="F331" s="60" t="s">
        <v>44</v>
      </c>
      <c r="G331" s="60" t="s">
        <v>148</v>
      </c>
      <c r="H331" s="60" t="s">
        <v>213</v>
      </c>
      <c r="I331" s="129" t="s">
        <v>95</v>
      </c>
      <c r="J331" s="84">
        <v>165000</v>
      </c>
      <c r="K331" s="84">
        <v>100000</v>
      </c>
      <c r="L331" s="84"/>
      <c r="M331" s="84"/>
      <c r="N331" s="84"/>
      <c r="O331" s="84"/>
      <c r="P331" s="84">
        <f t="shared" si="160"/>
        <v>165000</v>
      </c>
      <c r="Q331" s="84">
        <f t="shared" si="161"/>
        <v>100000</v>
      </c>
      <c r="R331" s="84">
        <f t="shared" si="162"/>
        <v>0</v>
      </c>
    </row>
    <row r="332" spans="1:18" ht="38.25">
      <c r="A332" s="2" t="s">
        <v>287</v>
      </c>
      <c r="B332" s="60" t="s">
        <v>272</v>
      </c>
      <c r="C332" s="60" t="s">
        <v>18</v>
      </c>
      <c r="D332" s="60" t="s">
        <v>20</v>
      </c>
      <c r="E332" s="60" t="s">
        <v>14</v>
      </c>
      <c r="F332" s="60" t="s">
        <v>70</v>
      </c>
      <c r="G332" s="60" t="s">
        <v>148</v>
      </c>
      <c r="H332" s="1" t="s">
        <v>149</v>
      </c>
      <c r="I332" s="13"/>
      <c r="J332" s="84">
        <f>J336+J333+J339</f>
        <v>4002733</v>
      </c>
      <c r="K332" s="84">
        <f t="shared" ref="K332:L332" si="193">K336+K333+K339</f>
        <v>3941522.32</v>
      </c>
      <c r="L332" s="84">
        <f t="shared" si="193"/>
        <v>3955863.21</v>
      </c>
      <c r="M332" s="84">
        <f t="shared" ref="M332:O332" si="194">M336+M333+M339</f>
        <v>494267</v>
      </c>
      <c r="N332" s="84">
        <f t="shared" si="194"/>
        <v>-109962.32</v>
      </c>
      <c r="O332" s="84">
        <f t="shared" si="194"/>
        <v>-114360.81</v>
      </c>
      <c r="P332" s="84">
        <f t="shared" si="160"/>
        <v>4497000</v>
      </c>
      <c r="Q332" s="84">
        <f t="shared" si="161"/>
        <v>3831560</v>
      </c>
      <c r="R332" s="84">
        <f t="shared" si="162"/>
        <v>3841502.4</v>
      </c>
    </row>
    <row r="333" spans="1:18" ht="25.5">
      <c r="A333" s="123" t="s">
        <v>326</v>
      </c>
      <c r="B333" s="60" t="s">
        <v>272</v>
      </c>
      <c r="C333" s="60" t="s">
        <v>18</v>
      </c>
      <c r="D333" s="60" t="s">
        <v>20</v>
      </c>
      <c r="E333" s="60" t="s">
        <v>14</v>
      </c>
      <c r="F333" s="60" t="s">
        <v>70</v>
      </c>
      <c r="G333" s="60" t="s">
        <v>148</v>
      </c>
      <c r="H333" s="75" t="s">
        <v>172</v>
      </c>
      <c r="I333" s="76"/>
      <c r="J333" s="114">
        <f>J334</f>
        <v>3550000</v>
      </c>
      <c r="K333" s="114">
        <f t="shared" ref="K333:O334" si="195">K334</f>
        <v>3550000</v>
      </c>
      <c r="L333" s="114">
        <f t="shared" si="195"/>
        <v>3550000</v>
      </c>
      <c r="M333" s="114">
        <f t="shared" si="195"/>
        <v>0</v>
      </c>
      <c r="N333" s="114">
        <f t="shared" si="195"/>
        <v>0</v>
      </c>
      <c r="O333" s="114">
        <f t="shared" si="195"/>
        <v>0</v>
      </c>
      <c r="P333" s="114">
        <f t="shared" si="160"/>
        <v>3550000</v>
      </c>
      <c r="Q333" s="114">
        <f t="shared" si="161"/>
        <v>3550000</v>
      </c>
      <c r="R333" s="114">
        <f t="shared" si="162"/>
        <v>3550000</v>
      </c>
    </row>
    <row r="334" spans="1:18" ht="25.5">
      <c r="A334" s="80" t="s">
        <v>260</v>
      </c>
      <c r="B334" s="60" t="s">
        <v>272</v>
      </c>
      <c r="C334" s="60" t="s">
        <v>18</v>
      </c>
      <c r="D334" s="60" t="s">
        <v>20</v>
      </c>
      <c r="E334" s="60" t="s">
        <v>14</v>
      </c>
      <c r="F334" s="60" t="s">
        <v>70</v>
      </c>
      <c r="G334" s="60" t="s">
        <v>148</v>
      </c>
      <c r="H334" s="75" t="s">
        <v>172</v>
      </c>
      <c r="I334" s="76" t="s">
        <v>94</v>
      </c>
      <c r="J334" s="114">
        <f>J335</f>
        <v>3550000</v>
      </c>
      <c r="K334" s="114">
        <f t="shared" si="195"/>
        <v>3550000</v>
      </c>
      <c r="L334" s="114">
        <f t="shared" si="195"/>
        <v>3550000</v>
      </c>
      <c r="M334" s="114">
        <f t="shared" si="195"/>
        <v>0</v>
      </c>
      <c r="N334" s="114">
        <f t="shared" si="195"/>
        <v>0</v>
      </c>
      <c r="O334" s="114">
        <f t="shared" si="195"/>
        <v>0</v>
      </c>
      <c r="P334" s="114">
        <f t="shared" si="160"/>
        <v>3550000</v>
      </c>
      <c r="Q334" s="114">
        <f t="shared" si="161"/>
        <v>3550000</v>
      </c>
      <c r="R334" s="114">
        <f t="shared" si="162"/>
        <v>3550000</v>
      </c>
    </row>
    <row r="335" spans="1:18" ht="25.5">
      <c r="A335" s="78" t="s">
        <v>98</v>
      </c>
      <c r="B335" s="60" t="s">
        <v>272</v>
      </c>
      <c r="C335" s="60" t="s">
        <v>18</v>
      </c>
      <c r="D335" s="60" t="s">
        <v>20</v>
      </c>
      <c r="E335" s="60" t="s">
        <v>14</v>
      </c>
      <c r="F335" s="60" t="s">
        <v>70</v>
      </c>
      <c r="G335" s="60" t="s">
        <v>148</v>
      </c>
      <c r="H335" s="75" t="s">
        <v>172</v>
      </c>
      <c r="I335" s="76" t="s">
        <v>95</v>
      </c>
      <c r="J335" s="114">
        <v>3550000</v>
      </c>
      <c r="K335" s="114">
        <v>3550000</v>
      </c>
      <c r="L335" s="114">
        <v>3550000</v>
      </c>
      <c r="M335" s="114"/>
      <c r="N335" s="114"/>
      <c r="O335" s="114"/>
      <c r="P335" s="114">
        <f t="shared" si="160"/>
        <v>3550000</v>
      </c>
      <c r="Q335" s="114">
        <f t="shared" si="161"/>
        <v>3550000</v>
      </c>
      <c r="R335" s="114">
        <f t="shared" si="162"/>
        <v>3550000</v>
      </c>
    </row>
    <row r="336" spans="1:18">
      <c r="A336" s="2" t="s">
        <v>369</v>
      </c>
      <c r="B336" s="60" t="s">
        <v>272</v>
      </c>
      <c r="C336" s="60" t="s">
        <v>18</v>
      </c>
      <c r="D336" s="60" t="s">
        <v>20</v>
      </c>
      <c r="E336" s="60" t="s">
        <v>14</v>
      </c>
      <c r="F336" s="60" t="s">
        <v>70</v>
      </c>
      <c r="G336" s="60" t="s">
        <v>148</v>
      </c>
      <c r="H336" s="1" t="s">
        <v>327</v>
      </c>
      <c r="I336" s="13"/>
      <c r="J336" s="84">
        <f t="shared" ref="J336:O337" si="196">J337</f>
        <v>352733</v>
      </c>
      <c r="K336" s="84">
        <f t="shared" si="196"/>
        <v>366522.32</v>
      </c>
      <c r="L336" s="84">
        <f t="shared" si="196"/>
        <v>380863.21</v>
      </c>
      <c r="M336" s="84">
        <f t="shared" si="196"/>
        <v>194267</v>
      </c>
      <c r="N336" s="84">
        <f t="shared" si="196"/>
        <v>-109962.32</v>
      </c>
      <c r="O336" s="84">
        <f t="shared" si="196"/>
        <v>-114360.81</v>
      </c>
      <c r="P336" s="84">
        <f t="shared" si="160"/>
        <v>547000</v>
      </c>
      <c r="Q336" s="84">
        <f t="shared" si="161"/>
        <v>256560</v>
      </c>
      <c r="R336" s="84">
        <f t="shared" si="162"/>
        <v>266502.40000000002</v>
      </c>
    </row>
    <row r="337" spans="1:18" ht="25.5">
      <c r="A337" s="80" t="s">
        <v>260</v>
      </c>
      <c r="B337" s="60" t="s">
        <v>272</v>
      </c>
      <c r="C337" s="60" t="s">
        <v>18</v>
      </c>
      <c r="D337" s="60" t="s">
        <v>20</v>
      </c>
      <c r="E337" s="60" t="s">
        <v>14</v>
      </c>
      <c r="F337" s="60" t="s">
        <v>70</v>
      </c>
      <c r="G337" s="60" t="s">
        <v>148</v>
      </c>
      <c r="H337" s="1" t="s">
        <v>327</v>
      </c>
      <c r="I337" s="13" t="s">
        <v>94</v>
      </c>
      <c r="J337" s="84">
        <f t="shared" si="196"/>
        <v>352733</v>
      </c>
      <c r="K337" s="84">
        <f t="shared" si="196"/>
        <v>366522.32</v>
      </c>
      <c r="L337" s="84">
        <f t="shared" si="196"/>
        <v>380863.21</v>
      </c>
      <c r="M337" s="84">
        <f t="shared" si="196"/>
        <v>194267</v>
      </c>
      <c r="N337" s="84">
        <f t="shared" si="196"/>
        <v>-109962.32</v>
      </c>
      <c r="O337" s="84">
        <f t="shared" si="196"/>
        <v>-114360.81</v>
      </c>
      <c r="P337" s="84">
        <f t="shared" si="160"/>
        <v>547000</v>
      </c>
      <c r="Q337" s="84">
        <f t="shared" si="161"/>
        <v>256560</v>
      </c>
      <c r="R337" s="84">
        <f t="shared" si="162"/>
        <v>266502.40000000002</v>
      </c>
    </row>
    <row r="338" spans="1:18" ht="25.5">
      <c r="A338" s="78" t="s">
        <v>98</v>
      </c>
      <c r="B338" s="60" t="s">
        <v>272</v>
      </c>
      <c r="C338" s="60" t="s">
        <v>18</v>
      </c>
      <c r="D338" s="60" t="s">
        <v>20</v>
      </c>
      <c r="E338" s="60" t="s">
        <v>14</v>
      </c>
      <c r="F338" s="60" t="s">
        <v>70</v>
      </c>
      <c r="G338" s="60" t="s">
        <v>148</v>
      </c>
      <c r="H338" s="1" t="s">
        <v>327</v>
      </c>
      <c r="I338" s="13" t="s">
        <v>95</v>
      </c>
      <c r="J338" s="84">
        <f>247000+105733</f>
        <v>352733</v>
      </c>
      <c r="K338" s="84">
        <f>256560+109962.32</f>
        <v>366522.32</v>
      </c>
      <c r="L338" s="84">
        <f>266502.4+114360.81</f>
        <v>380863.21</v>
      </c>
      <c r="M338" s="84">
        <f>-105733+300000</f>
        <v>194267</v>
      </c>
      <c r="N338" s="84">
        <v>-109962.32</v>
      </c>
      <c r="O338" s="84">
        <v>-114360.81</v>
      </c>
      <c r="P338" s="84">
        <f t="shared" si="160"/>
        <v>547000</v>
      </c>
      <c r="Q338" s="84">
        <f t="shared" si="161"/>
        <v>256560</v>
      </c>
      <c r="R338" s="84">
        <f t="shared" si="162"/>
        <v>266502.40000000002</v>
      </c>
    </row>
    <row r="339" spans="1:18" ht="25.5">
      <c r="A339" s="78" t="s">
        <v>324</v>
      </c>
      <c r="B339" s="60" t="s">
        <v>272</v>
      </c>
      <c r="C339" s="60" t="s">
        <v>18</v>
      </c>
      <c r="D339" s="60" t="s">
        <v>20</v>
      </c>
      <c r="E339" s="60" t="s">
        <v>14</v>
      </c>
      <c r="F339" s="60" t="s">
        <v>70</v>
      </c>
      <c r="G339" s="60" t="s">
        <v>148</v>
      </c>
      <c r="H339" s="75" t="s">
        <v>323</v>
      </c>
      <c r="I339" s="76"/>
      <c r="J339" s="114">
        <f>J340</f>
        <v>100000</v>
      </c>
      <c r="K339" s="114">
        <f t="shared" ref="K339:O340" si="197">K340</f>
        <v>25000</v>
      </c>
      <c r="L339" s="114">
        <f t="shared" si="197"/>
        <v>25000</v>
      </c>
      <c r="M339" s="114">
        <f t="shared" si="197"/>
        <v>300000</v>
      </c>
      <c r="N339" s="114">
        <f t="shared" si="197"/>
        <v>0</v>
      </c>
      <c r="O339" s="114">
        <f t="shared" si="197"/>
        <v>0</v>
      </c>
      <c r="P339" s="114">
        <f t="shared" si="160"/>
        <v>400000</v>
      </c>
      <c r="Q339" s="114">
        <f t="shared" si="161"/>
        <v>25000</v>
      </c>
      <c r="R339" s="114">
        <f t="shared" si="162"/>
        <v>25000</v>
      </c>
    </row>
    <row r="340" spans="1:18" ht="25.5">
      <c r="A340" s="80" t="s">
        <v>260</v>
      </c>
      <c r="B340" s="60" t="s">
        <v>272</v>
      </c>
      <c r="C340" s="60" t="s">
        <v>18</v>
      </c>
      <c r="D340" s="60" t="s">
        <v>20</v>
      </c>
      <c r="E340" s="60" t="s">
        <v>14</v>
      </c>
      <c r="F340" s="60" t="s">
        <v>70</v>
      </c>
      <c r="G340" s="60" t="s">
        <v>148</v>
      </c>
      <c r="H340" s="75" t="s">
        <v>323</v>
      </c>
      <c r="I340" s="76" t="s">
        <v>94</v>
      </c>
      <c r="J340" s="114">
        <f>J341</f>
        <v>100000</v>
      </c>
      <c r="K340" s="114">
        <f t="shared" si="197"/>
        <v>25000</v>
      </c>
      <c r="L340" s="114">
        <f t="shared" si="197"/>
        <v>25000</v>
      </c>
      <c r="M340" s="114">
        <f t="shared" si="197"/>
        <v>300000</v>
      </c>
      <c r="N340" s="114">
        <f t="shared" si="197"/>
        <v>0</v>
      </c>
      <c r="O340" s="114">
        <f t="shared" si="197"/>
        <v>0</v>
      </c>
      <c r="P340" s="114">
        <f t="shared" si="160"/>
        <v>400000</v>
      </c>
      <c r="Q340" s="114">
        <f t="shared" si="161"/>
        <v>25000</v>
      </c>
      <c r="R340" s="114">
        <f t="shared" si="162"/>
        <v>25000</v>
      </c>
    </row>
    <row r="341" spans="1:18" ht="25.5">
      <c r="A341" s="78" t="s">
        <v>98</v>
      </c>
      <c r="B341" s="60" t="s">
        <v>272</v>
      </c>
      <c r="C341" s="60" t="s">
        <v>18</v>
      </c>
      <c r="D341" s="60" t="s">
        <v>20</v>
      </c>
      <c r="E341" s="60" t="s">
        <v>14</v>
      </c>
      <c r="F341" s="60" t="s">
        <v>70</v>
      </c>
      <c r="G341" s="60" t="s">
        <v>148</v>
      </c>
      <c r="H341" s="75" t="s">
        <v>323</v>
      </c>
      <c r="I341" s="76" t="s">
        <v>95</v>
      </c>
      <c r="J341" s="114">
        <v>100000</v>
      </c>
      <c r="K341" s="114">
        <v>25000</v>
      </c>
      <c r="L341" s="114">
        <v>25000</v>
      </c>
      <c r="M341" s="114">
        <v>300000</v>
      </c>
      <c r="N341" s="114"/>
      <c r="O341" s="114"/>
      <c r="P341" s="114">
        <f t="shared" si="160"/>
        <v>400000</v>
      </c>
      <c r="Q341" s="114">
        <f t="shared" si="161"/>
        <v>25000</v>
      </c>
      <c r="R341" s="114">
        <f t="shared" si="162"/>
        <v>25000</v>
      </c>
    </row>
    <row r="342" spans="1:18">
      <c r="A342" s="123"/>
      <c r="B342" s="158"/>
      <c r="C342" s="133"/>
      <c r="D342" s="133"/>
      <c r="E342" s="133"/>
      <c r="F342" s="133"/>
      <c r="G342" s="133"/>
      <c r="H342" s="75"/>
      <c r="I342" s="76"/>
      <c r="J342" s="114"/>
      <c r="K342" s="114"/>
      <c r="L342" s="114"/>
      <c r="M342" s="114"/>
      <c r="N342" s="114"/>
      <c r="O342" s="114"/>
      <c r="P342" s="114"/>
      <c r="Q342" s="114"/>
      <c r="R342" s="114"/>
    </row>
    <row r="343" spans="1:18" ht="25.5">
      <c r="A343" s="42" t="s">
        <v>408</v>
      </c>
      <c r="B343" s="47" t="s">
        <v>63</v>
      </c>
      <c r="C343" s="93"/>
      <c r="D343" s="43"/>
      <c r="E343" s="108"/>
      <c r="F343" s="93"/>
      <c r="G343" s="93"/>
      <c r="H343" s="43"/>
      <c r="I343" s="132"/>
      <c r="J343" s="118">
        <f>J344</f>
        <v>29256367.370000001</v>
      </c>
      <c r="K343" s="118">
        <f t="shared" ref="K343:O343" si="198">K344</f>
        <v>24578550.170000002</v>
      </c>
      <c r="L343" s="118">
        <f t="shared" si="198"/>
        <v>24084290.400000002</v>
      </c>
      <c r="M343" s="118">
        <f t="shared" si="198"/>
        <v>29708815.530000001</v>
      </c>
      <c r="N343" s="118">
        <f t="shared" si="198"/>
        <v>0</v>
      </c>
      <c r="O343" s="118">
        <f t="shared" si="198"/>
        <v>0</v>
      </c>
      <c r="P343" s="118">
        <f t="shared" si="160"/>
        <v>58965182.900000006</v>
      </c>
      <c r="Q343" s="118">
        <f t="shared" si="161"/>
        <v>24578550.170000002</v>
      </c>
      <c r="R343" s="118">
        <f t="shared" si="162"/>
        <v>24084290.400000002</v>
      </c>
    </row>
    <row r="344" spans="1:18" ht="15.75">
      <c r="A344" s="25" t="s">
        <v>32</v>
      </c>
      <c r="B344" s="26" t="s">
        <v>63</v>
      </c>
      <c r="C344" s="26" t="s">
        <v>20</v>
      </c>
      <c r="D344" s="1"/>
      <c r="E344" s="1"/>
      <c r="F344" s="1"/>
      <c r="G344" s="1"/>
      <c r="H344" s="1"/>
      <c r="I344" s="1"/>
      <c r="J344" s="111">
        <f>+J346+J361+J355</f>
        <v>29256367.370000001</v>
      </c>
      <c r="K344" s="111">
        <f t="shared" ref="K344:L344" si="199">+K346+K361+K355</f>
        <v>24578550.170000002</v>
      </c>
      <c r="L344" s="111">
        <f t="shared" si="199"/>
        <v>24084290.400000002</v>
      </c>
      <c r="M344" s="111">
        <f t="shared" ref="M344:O344" si="200">+M346+M361+M355</f>
        <v>29708815.530000001</v>
      </c>
      <c r="N344" s="111">
        <f t="shared" si="200"/>
        <v>0</v>
      </c>
      <c r="O344" s="111">
        <f t="shared" si="200"/>
        <v>0</v>
      </c>
      <c r="P344" s="111">
        <f t="shared" si="160"/>
        <v>58965182.900000006</v>
      </c>
      <c r="Q344" s="111">
        <f t="shared" si="161"/>
        <v>24578550.170000002</v>
      </c>
      <c r="R344" s="111">
        <f t="shared" si="162"/>
        <v>24084290.400000002</v>
      </c>
    </row>
    <row r="345" spans="1:18">
      <c r="A345" s="2"/>
      <c r="B345" s="66"/>
      <c r="C345" s="66"/>
      <c r="D345" s="1"/>
      <c r="E345" s="1"/>
      <c r="F345" s="1"/>
      <c r="G345" s="1"/>
      <c r="H345" s="1"/>
      <c r="I345" s="13"/>
      <c r="J345" s="116"/>
      <c r="K345" s="116"/>
      <c r="L345" s="116"/>
      <c r="M345" s="116"/>
      <c r="N345" s="116"/>
      <c r="O345" s="116"/>
      <c r="P345" s="116">
        <f t="shared" si="160"/>
        <v>0</v>
      </c>
      <c r="Q345" s="116">
        <f t="shared" si="161"/>
        <v>0</v>
      </c>
      <c r="R345" s="116">
        <f t="shared" si="162"/>
        <v>0</v>
      </c>
    </row>
    <row r="346" spans="1:18" ht="25.5">
      <c r="A346" s="19" t="s">
        <v>34</v>
      </c>
      <c r="B346" s="14" t="s">
        <v>63</v>
      </c>
      <c r="C346" s="14" t="s">
        <v>20</v>
      </c>
      <c r="D346" s="14" t="s">
        <v>3</v>
      </c>
      <c r="E346" s="14"/>
      <c r="F346" s="14"/>
      <c r="G346" s="14"/>
      <c r="H346" s="1"/>
      <c r="I346" s="13"/>
      <c r="J346" s="112">
        <f>J347</f>
        <v>21334846</v>
      </c>
      <c r="K346" s="112">
        <f t="shared" ref="K346:O348" si="201">K347</f>
        <v>21533880.620000001</v>
      </c>
      <c r="L346" s="112">
        <f t="shared" si="201"/>
        <v>21601905.420000002</v>
      </c>
      <c r="M346" s="112">
        <f t="shared" si="201"/>
        <v>0</v>
      </c>
      <c r="N346" s="112">
        <f t="shared" si="201"/>
        <v>0</v>
      </c>
      <c r="O346" s="112">
        <f t="shared" si="201"/>
        <v>0</v>
      </c>
      <c r="P346" s="112">
        <f t="shared" ref="P346:P415" si="202">J346+M346</f>
        <v>21334846</v>
      </c>
      <c r="Q346" s="112">
        <f t="shared" ref="Q346:Q415" si="203">K346+N346</f>
        <v>21533880.620000001</v>
      </c>
      <c r="R346" s="112">
        <f t="shared" ref="R346:R415" si="204">L346+O346</f>
        <v>21601905.420000002</v>
      </c>
    </row>
    <row r="347" spans="1:18" ht="38.25">
      <c r="A347" s="35" t="s">
        <v>294</v>
      </c>
      <c r="B347" s="1" t="s">
        <v>63</v>
      </c>
      <c r="C347" s="1" t="s">
        <v>20</v>
      </c>
      <c r="D347" s="1" t="s">
        <v>3</v>
      </c>
      <c r="E347" s="1" t="s">
        <v>19</v>
      </c>
      <c r="F347" s="1" t="s">
        <v>70</v>
      </c>
      <c r="G347" s="1" t="s">
        <v>148</v>
      </c>
      <c r="H347" s="1" t="s">
        <v>149</v>
      </c>
      <c r="I347" s="13"/>
      <c r="J347" s="84">
        <f>J348</f>
        <v>21334846</v>
      </c>
      <c r="K347" s="84">
        <f t="shared" si="201"/>
        <v>21533880.620000001</v>
      </c>
      <c r="L347" s="84">
        <f t="shared" si="201"/>
        <v>21601905.420000002</v>
      </c>
      <c r="M347" s="84">
        <f t="shared" si="201"/>
        <v>0</v>
      </c>
      <c r="N347" s="84">
        <f t="shared" si="201"/>
        <v>0</v>
      </c>
      <c r="O347" s="84">
        <f t="shared" si="201"/>
        <v>0</v>
      </c>
      <c r="P347" s="84">
        <f t="shared" si="202"/>
        <v>21334846</v>
      </c>
      <c r="Q347" s="84">
        <f t="shared" si="203"/>
        <v>21533880.620000001</v>
      </c>
      <c r="R347" s="84">
        <f t="shared" si="204"/>
        <v>21601905.420000002</v>
      </c>
    </row>
    <row r="348" spans="1:18" ht="25.5">
      <c r="A348" s="35" t="s">
        <v>296</v>
      </c>
      <c r="B348" s="1" t="s">
        <v>63</v>
      </c>
      <c r="C348" s="1" t="s">
        <v>20</v>
      </c>
      <c r="D348" s="1" t="s">
        <v>3</v>
      </c>
      <c r="E348" s="1" t="s">
        <v>19</v>
      </c>
      <c r="F348" s="1" t="s">
        <v>127</v>
      </c>
      <c r="G348" s="1" t="s">
        <v>148</v>
      </c>
      <c r="H348" s="1" t="s">
        <v>149</v>
      </c>
      <c r="I348" s="13"/>
      <c r="J348" s="84">
        <f>J349</f>
        <v>21334846</v>
      </c>
      <c r="K348" s="84">
        <f t="shared" si="201"/>
        <v>21533880.620000001</v>
      </c>
      <c r="L348" s="84">
        <f t="shared" si="201"/>
        <v>21601905.420000002</v>
      </c>
      <c r="M348" s="84">
        <f t="shared" si="201"/>
        <v>0</v>
      </c>
      <c r="N348" s="84">
        <f t="shared" si="201"/>
        <v>0</v>
      </c>
      <c r="O348" s="84">
        <f t="shared" si="201"/>
        <v>0</v>
      </c>
      <c r="P348" s="84">
        <f t="shared" si="202"/>
        <v>21334846</v>
      </c>
      <c r="Q348" s="84">
        <f t="shared" si="203"/>
        <v>21533880.620000001</v>
      </c>
      <c r="R348" s="84">
        <f t="shared" si="204"/>
        <v>21601905.420000002</v>
      </c>
    </row>
    <row r="349" spans="1:18" ht="25.5">
      <c r="A349" s="11" t="s">
        <v>87</v>
      </c>
      <c r="B349" s="1" t="s">
        <v>63</v>
      </c>
      <c r="C349" s="1" t="s">
        <v>20</v>
      </c>
      <c r="D349" s="1" t="s">
        <v>3</v>
      </c>
      <c r="E349" s="1" t="s">
        <v>19</v>
      </c>
      <c r="F349" s="1" t="s">
        <v>127</v>
      </c>
      <c r="G349" s="1" t="s">
        <v>148</v>
      </c>
      <c r="H349" s="1" t="s">
        <v>158</v>
      </c>
      <c r="I349" s="13"/>
      <c r="J349" s="84">
        <f>J350+J352</f>
        <v>21334846</v>
      </c>
      <c r="K349" s="84">
        <f t="shared" ref="K349:L349" si="205">K350+K352</f>
        <v>21533880.620000001</v>
      </c>
      <c r="L349" s="84">
        <f t="shared" si="205"/>
        <v>21601905.420000002</v>
      </c>
      <c r="M349" s="84">
        <f t="shared" ref="M349:O349" si="206">M350+M352</f>
        <v>0</v>
      </c>
      <c r="N349" s="84">
        <f t="shared" si="206"/>
        <v>0</v>
      </c>
      <c r="O349" s="84">
        <f t="shared" si="206"/>
        <v>0</v>
      </c>
      <c r="P349" s="84">
        <f t="shared" si="202"/>
        <v>21334846</v>
      </c>
      <c r="Q349" s="84">
        <f t="shared" si="203"/>
        <v>21533880.620000001</v>
      </c>
      <c r="R349" s="84">
        <f t="shared" si="204"/>
        <v>21601905.420000002</v>
      </c>
    </row>
    <row r="350" spans="1:18" ht="38.25">
      <c r="A350" s="78" t="s">
        <v>96</v>
      </c>
      <c r="B350" s="1" t="s">
        <v>63</v>
      </c>
      <c r="C350" s="1" t="s">
        <v>20</v>
      </c>
      <c r="D350" s="1" t="s">
        <v>3</v>
      </c>
      <c r="E350" s="1" t="s">
        <v>19</v>
      </c>
      <c r="F350" s="1" t="s">
        <v>127</v>
      </c>
      <c r="G350" s="1" t="s">
        <v>148</v>
      </c>
      <c r="H350" s="1" t="s">
        <v>158</v>
      </c>
      <c r="I350" s="13" t="s">
        <v>92</v>
      </c>
      <c r="J350" s="84">
        <f>J351</f>
        <v>20553046</v>
      </c>
      <c r="K350" s="84">
        <f t="shared" ref="K350:O350" si="207">K351</f>
        <v>20752080.620000001</v>
      </c>
      <c r="L350" s="84">
        <f t="shared" si="207"/>
        <v>20820105.420000002</v>
      </c>
      <c r="M350" s="84">
        <f t="shared" si="207"/>
        <v>0</v>
      </c>
      <c r="N350" s="84">
        <f t="shared" si="207"/>
        <v>0</v>
      </c>
      <c r="O350" s="84">
        <f t="shared" si="207"/>
        <v>0</v>
      </c>
      <c r="P350" s="84">
        <f t="shared" si="202"/>
        <v>20553046</v>
      </c>
      <c r="Q350" s="84">
        <f t="shared" si="203"/>
        <v>20752080.620000001</v>
      </c>
      <c r="R350" s="84">
        <f t="shared" si="204"/>
        <v>20820105.420000002</v>
      </c>
    </row>
    <row r="351" spans="1:18">
      <c r="A351" s="78" t="s">
        <v>103</v>
      </c>
      <c r="B351" s="1" t="s">
        <v>63</v>
      </c>
      <c r="C351" s="1" t="s">
        <v>20</v>
      </c>
      <c r="D351" s="1" t="s">
        <v>3</v>
      </c>
      <c r="E351" s="1" t="s">
        <v>19</v>
      </c>
      <c r="F351" s="1" t="s">
        <v>127</v>
      </c>
      <c r="G351" s="1" t="s">
        <v>148</v>
      </c>
      <c r="H351" s="1" t="s">
        <v>158</v>
      </c>
      <c r="I351" s="13" t="s">
        <v>102</v>
      </c>
      <c r="J351" s="84">
        <v>20553046</v>
      </c>
      <c r="K351" s="84">
        <v>20752080.620000001</v>
      </c>
      <c r="L351" s="84">
        <v>20820105.420000002</v>
      </c>
      <c r="M351" s="84"/>
      <c r="N351" s="84"/>
      <c r="O351" s="84"/>
      <c r="P351" s="84">
        <f t="shared" si="202"/>
        <v>20553046</v>
      </c>
      <c r="Q351" s="84">
        <f t="shared" si="203"/>
        <v>20752080.620000001</v>
      </c>
      <c r="R351" s="84">
        <f t="shared" si="204"/>
        <v>20820105.420000002</v>
      </c>
    </row>
    <row r="352" spans="1:18" ht="25.5">
      <c r="A352" s="80" t="s">
        <v>260</v>
      </c>
      <c r="B352" s="1" t="s">
        <v>63</v>
      </c>
      <c r="C352" s="1" t="s">
        <v>20</v>
      </c>
      <c r="D352" s="1" t="s">
        <v>3</v>
      </c>
      <c r="E352" s="1" t="s">
        <v>19</v>
      </c>
      <c r="F352" s="1" t="s">
        <v>127</v>
      </c>
      <c r="G352" s="1" t="s">
        <v>148</v>
      </c>
      <c r="H352" s="1" t="s">
        <v>158</v>
      </c>
      <c r="I352" s="13" t="s">
        <v>94</v>
      </c>
      <c r="J352" s="84">
        <f>J353</f>
        <v>781800</v>
      </c>
      <c r="K352" s="84">
        <f t="shared" ref="K352:O352" si="208">K353</f>
        <v>781800</v>
      </c>
      <c r="L352" s="84">
        <f t="shared" si="208"/>
        <v>781800</v>
      </c>
      <c r="M352" s="84">
        <f t="shared" si="208"/>
        <v>0</v>
      </c>
      <c r="N352" s="84">
        <f t="shared" si="208"/>
        <v>0</v>
      </c>
      <c r="O352" s="84">
        <f t="shared" si="208"/>
        <v>0</v>
      </c>
      <c r="P352" s="84">
        <f t="shared" si="202"/>
        <v>781800</v>
      </c>
      <c r="Q352" s="84">
        <f t="shared" si="203"/>
        <v>781800</v>
      </c>
      <c r="R352" s="84">
        <f t="shared" si="204"/>
        <v>781800</v>
      </c>
    </row>
    <row r="353" spans="1:18" ht="25.5">
      <c r="A353" s="78" t="s">
        <v>98</v>
      </c>
      <c r="B353" s="1" t="s">
        <v>63</v>
      </c>
      <c r="C353" s="1" t="s">
        <v>20</v>
      </c>
      <c r="D353" s="1" t="s">
        <v>3</v>
      </c>
      <c r="E353" s="1" t="s">
        <v>19</v>
      </c>
      <c r="F353" s="1" t="s">
        <v>127</v>
      </c>
      <c r="G353" s="1" t="s">
        <v>148</v>
      </c>
      <c r="H353" s="1" t="s">
        <v>158</v>
      </c>
      <c r="I353" s="13" t="s">
        <v>95</v>
      </c>
      <c r="J353" s="84">
        <v>781800</v>
      </c>
      <c r="K353" s="84">
        <v>781800</v>
      </c>
      <c r="L353" s="84">
        <v>781800</v>
      </c>
      <c r="M353" s="84"/>
      <c r="N353" s="84"/>
      <c r="O353" s="84"/>
      <c r="P353" s="84">
        <f t="shared" si="202"/>
        <v>781800</v>
      </c>
      <c r="Q353" s="84">
        <f t="shared" si="203"/>
        <v>781800</v>
      </c>
      <c r="R353" s="84">
        <f t="shared" si="204"/>
        <v>781800</v>
      </c>
    </row>
    <row r="354" spans="1:18">
      <c r="A354" s="11"/>
      <c r="B354" s="1"/>
      <c r="C354" s="1"/>
      <c r="D354" s="1"/>
      <c r="E354" s="1"/>
      <c r="F354" s="1"/>
      <c r="G354" s="1"/>
      <c r="H354" s="1"/>
      <c r="I354" s="13"/>
      <c r="J354" s="84"/>
      <c r="K354" s="84"/>
      <c r="L354" s="84"/>
      <c r="M354" s="84"/>
      <c r="N354" s="84"/>
      <c r="O354" s="84"/>
      <c r="P354" s="84"/>
      <c r="Q354" s="84"/>
      <c r="R354" s="84"/>
    </row>
    <row r="355" spans="1:18">
      <c r="A355" s="4" t="s">
        <v>22</v>
      </c>
      <c r="B355" s="14" t="s">
        <v>63</v>
      </c>
      <c r="C355" s="14" t="s">
        <v>20</v>
      </c>
      <c r="D355" s="14" t="s">
        <v>19</v>
      </c>
      <c r="E355" s="14"/>
      <c r="F355" s="14"/>
      <c r="G355" s="14"/>
      <c r="H355" s="1"/>
      <c r="I355" s="13"/>
      <c r="J355" s="112">
        <f t="shared" ref="J355:O358" si="209">J356</f>
        <v>3382000</v>
      </c>
      <c r="K355" s="112">
        <f t="shared" si="209"/>
        <v>2000000</v>
      </c>
      <c r="L355" s="112">
        <f t="shared" si="209"/>
        <v>1500000</v>
      </c>
      <c r="M355" s="112">
        <f t="shared" si="209"/>
        <v>0</v>
      </c>
      <c r="N355" s="112">
        <f t="shared" si="209"/>
        <v>0</v>
      </c>
      <c r="O355" s="112">
        <f t="shared" si="209"/>
        <v>0</v>
      </c>
      <c r="P355" s="112">
        <f t="shared" si="202"/>
        <v>3382000</v>
      </c>
      <c r="Q355" s="112">
        <f t="shared" si="203"/>
        <v>2000000</v>
      </c>
      <c r="R355" s="112">
        <f t="shared" si="204"/>
        <v>1500000</v>
      </c>
    </row>
    <row r="356" spans="1:18">
      <c r="A356" s="2" t="s">
        <v>83</v>
      </c>
      <c r="B356" s="1" t="s">
        <v>63</v>
      </c>
      <c r="C356" s="1" t="s">
        <v>20</v>
      </c>
      <c r="D356" s="1" t="s">
        <v>19</v>
      </c>
      <c r="E356" s="1" t="s">
        <v>82</v>
      </c>
      <c r="F356" s="1" t="s">
        <v>70</v>
      </c>
      <c r="G356" s="1" t="s">
        <v>148</v>
      </c>
      <c r="H356" s="1" t="s">
        <v>149</v>
      </c>
      <c r="I356" s="13"/>
      <c r="J356" s="84">
        <f t="shared" si="209"/>
        <v>3382000</v>
      </c>
      <c r="K356" s="84">
        <f t="shared" si="209"/>
        <v>2000000</v>
      </c>
      <c r="L356" s="84">
        <f t="shared" si="209"/>
        <v>1500000</v>
      </c>
      <c r="M356" s="84">
        <f t="shared" si="209"/>
        <v>0</v>
      </c>
      <c r="N356" s="84">
        <f t="shared" si="209"/>
        <v>0</v>
      </c>
      <c r="O356" s="84">
        <f t="shared" si="209"/>
        <v>0</v>
      </c>
      <c r="P356" s="84">
        <f t="shared" si="202"/>
        <v>3382000</v>
      </c>
      <c r="Q356" s="84">
        <f t="shared" si="203"/>
        <v>2000000</v>
      </c>
      <c r="R356" s="84">
        <f t="shared" si="204"/>
        <v>1500000</v>
      </c>
    </row>
    <row r="357" spans="1:18">
      <c r="A357" s="5" t="s">
        <v>332</v>
      </c>
      <c r="B357" s="1" t="s">
        <v>63</v>
      </c>
      <c r="C357" s="1" t="s">
        <v>20</v>
      </c>
      <c r="D357" s="1" t="s">
        <v>19</v>
      </c>
      <c r="E357" s="1" t="s">
        <v>82</v>
      </c>
      <c r="F357" s="1" t="s">
        <v>70</v>
      </c>
      <c r="G357" s="1" t="s">
        <v>148</v>
      </c>
      <c r="H357" s="1" t="s">
        <v>185</v>
      </c>
      <c r="I357" s="13"/>
      <c r="J357" s="84">
        <f t="shared" si="209"/>
        <v>3382000</v>
      </c>
      <c r="K357" s="84">
        <f t="shared" si="209"/>
        <v>2000000</v>
      </c>
      <c r="L357" s="84">
        <f t="shared" si="209"/>
        <v>1500000</v>
      </c>
      <c r="M357" s="84">
        <f t="shared" si="209"/>
        <v>0</v>
      </c>
      <c r="N357" s="84">
        <f t="shared" si="209"/>
        <v>0</v>
      </c>
      <c r="O357" s="84">
        <f t="shared" si="209"/>
        <v>0</v>
      </c>
      <c r="P357" s="84">
        <f t="shared" si="202"/>
        <v>3382000</v>
      </c>
      <c r="Q357" s="84">
        <f t="shared" si="203"/>
        <v>2000000</v>
      </c>
      <c r="R357" s="84">
        <f t="shared" si="204"/>
        <v>1500000</v>
      </c>
    </row>
    <row r="358" spans="1:18">
      <c r="A358" s="2" t="s">
        <v>80</v>
      </c>
      <c r="B358" s="1" t="s">
        <v>63</v>
      </c>
      <c r="C358" s="1" t="s">
        <v>20</v>
      </c>
      <c r="D358" s="1" t="s">
        <v>19</v>
      </c>
      <c r="E358" s="1" t="s">
        <v>82</v>
      </c>
      <c r="F358" s="1" t="s">
        <v>70</v>
      </c>
      <c r="G358" s="1" t="s">
        <v>148</v>
      </c>
      <c r="H358" s="1" t="s">
        <v>185</v>
      </c>
      <c r="I358" s="13" t="s">
        <v>77</v>
      </c>
      <c r="J358" s="84">
        <f t="shared" si="209"/>
        <v>3382000</v>
      </c>
      <c r="K358" s="84">
        <f t="shared" si="209"/>
        <v>2000000</v>
      </c>
      <c r="L358" s="84">
        <f t="shared" si="209"/>
        <v>1500000</v>
      </c>
      <c r="M358" s="84">
        <f t="shared" si="209"/>
        <v>0</v>
      </c>
      <c r="N358" s="84">
        <f t="shared" si="209"/>
        <v>0</v>
      </c>
      <c r="O358" s="84">
        <f t="shared" si="209"/>
        <v>0</v>
      </c>
      <c r="P358" s="84">
        <f t="shared" si="202"/>
        <v>3382000</v>
      </c>
      <c r="Q358" s="84">
        <f t="shared" si="203"/>
        <v>2000000</v>
      </c>
      <c r="R358" s="84">
        <f t="shared" si="204"/>
        <v>1500000</v>
      </c>
    </row>
    <row r="359" spans="1:18">
      <c r="A359" s="2" t="s">
        <v>105</v>
      </c>
      <c r="B359" s="1" t="s">
        <v>63</v>
      </c>
      <c r="C359" s="1" t="s">
        <v>20</v>
      </c>
      <c r="D359" s="1" t="s">
        <v>19</v>
      </c>
      <c r="E359" s="1" t="s">
        <v>82</v>
      </c>
      <c r="F359" s="1" t="s">
        <v>70</v>
      </c>
      <c r="G359" s="1" t="s">
        <v>148</v>
      </c>
      <c r="H359" s="1" t="s">
        <v>185</v>
      </c>
      <c r="I359" s="13" t="s">
        <v>104</v>
      </c>
      <c r="J359" s="84">
        <v>3382000</v>
      </c>
      <c r="K359" s="84">
        <v>2000000</v>
      </c>
      <c r="L359" s="84">
        <v>1500000</v>
      </c>
      <c r="M359" s="84"/>
      <c r="N359" s="84"/>
      <c r="O359" s="84"/>
      <c r="P359" s="84">
        <f t="shared" si="202"/>
        <v>3382000</v>
      </c>
      <c r="Q359" s="84">
        <f t="shared" si="203"/>
        <v>2000000</v>
      </c>
      <c r="R359" s="84">
        <f t="shared" si="204"/>
        <v>1500000</v>
      </c>
    </row>
    <row r="360" spans="1:18">
      <c r="A360" s="2"/>
      <c r="B360" s="1"/>
      <c r="C360" s="1"/>
      <c r="D360" s="1"/>
      <c r="E360" s="1"/>
      <c r="F360" s="1"/>
      <c r="G360" s="1"/>
      <c r="H360" s="1"/>
      <c r="I360" s="13"/>
      <c r="J360" s="84"/>
      <c r="K360" s="84"/>
      <c r="L360" s="84"/>
      <c r="M360" s="84"/>
      <c r="N360" s="84"/>
      <c r="O360" s="84"/>
      <c r="P360" s="84"/>
      <c r="Q360" s="84"/>
      <c r="R360" s="84"/>
    </row>
    <row r="361" spans="1:18">
      <c r="A361" s="4" t="s">
        <v>1</v>
      </c>
      <c r="B361" s="14" t="s">
        <v>63</v>
      </c>
      <c r="C361" s="14" t="s">
        <v>20</v>
      </c>
      <c r="D361" s="14" t="s">
        <v>49</v>
      </c>
      <c r="E361" s="14"/>
      <c r="F361" s="14"/>
      <c r="G361" s="14"/>
      <c r="H361" s="1"/>
      <c r="I361" s="13"/>
      <c r="J361" s="112">
        <f>J362</f>
        <v>4539521.37</v>
      </c>
      <c r="K361" s="112">
        <f t="shared" ref="K361:O361" si="210">K362</f>
        <v>1044669.55</v>
      </c>
      <c r="L361" s="112">
        <f t="shared" si="210"/>
        <v>982384.98</v>
      </c>
      <c r="M361" s="112">
        <f t="shared" si="210"/>
        <v>29708815.530000001</v>
      </c>
      <c r="N361" s="112">
        <f t="shared" si="210"/>
        <v>0</v>
      </c>
      <c r="O361" s="112">
        <f t="shared" si="210"/>
        <v>0</v>
      </c>
      <c r="P361" s="112">
        <f t="shared" si="202"/>
        <v>34248336.899999999</v>
      </c>
      <c r="Q361" s="112">
        <f t="shared" si="203"/>
        <v>1044669.55</v>
      </c>
      <c r="R361" s="112">
        <f t="shared" si="204"/>
        <v>982384.98</v>
      </c>
    </row>
    <row r="362" spans="1:18">
      <c r="A362" s="2" t="s">
        <v>83</v>
      </c>
      <c r="B362" s="10" t="s">
        <v>63</v>
      </c>
      <c r="C362" s="10" t="s">
        <v>20</v>
      </c>
      <c r="D362" s="1" t="s">
        <v>49</v>
      </c>
      <c r="E362" s="1" t="s">
        <v>82</v>
      </c>
      <c r="F362" s="1" t="s">
        <v>70</v>
      </c>
      <c r="G362" s="1" t="s">
        <v>148</v>
      </c>
      <c r="H362" s="1" t="s">
        <v>149</v>
      </c>
      <c r="I362" s="13"/>
      <c r="J362" s="84">
        <f>J363+J366+J369</f>
        <v>4539521.37</v>
      </c>
      <c r="K362" s="84">
        <f t="shared" ref="K362:O362" si="211">K363+K366+K369</f>
        <v>1044669.55</v>
      </c>
      <c r="L362" s="84">
        <f t="shared" si="211"/>
        <v>982384.98</v>
      </c>
      <c r="M362" s="84">
        <f t="shared" si="211"/>
        <v>29708815.530000001</v>
      </c>
      <c r="N362" s="84">
        <f t="shared" si="211"/>
        <v>0</v>
      </c>
      <c r="O362" s="84">
        <f t="shared" si="211"/>
        <v>0</v>
      </c>
      <c r="P362" s="84">
        <f t="shared" si="202"/>
        <v>34248336.899999999</v>
      </c>
      <c r="Q362" s="84">
        <f t="shared" si="203"/>
        <v>1044669.55</v>
      </c>
      <c r="R362" s="84">
        <f t="shared" si="204"/>
        <v>982384.98</v>
      </c>
    </row>
    <row r="363" spans="1:18" ht="38.25">
      <c r="A363" s="92" t="s">
        <v>235</v>
      </c>
      <c r="B363" s="10" t="s">
        <v>63</v>
      </c>
      <c r="C363" s="10" t="s">
        <v>20</v>
      </c>
      <c r="D363" s="1" t="s">
        <v>49</v>
      </c>
      <c r="E363" s="1" t="s">
        <v>82</v>
      </c>
      <c r="F363" s="1" t="s">
        <v>70</v>
      </c>
      <c r="G363" s="1" t="s">
        <v>148</v>
      </c>
      <c r="H363" s="1" t="s">
        <v>234</v>
      </c>
      <c r="I363" s="74"/>
      <c r="J363" s="84">
        <f>J364</f>
        <v>4539521.37</v>
      </c>
      <c r="K363" s="84">
        <f t="shared" ref="K363:O364" si="212">K364</f>
        <v>1044669.55</v>
      </c>
      <c r="L363" s="84">
        <f t="shared" si="212"/>
        <v>982384.98</v>
      </c>
      <c r="M363" s="84">
        <f t="shared" si="212"/>
        <v>0</v>
      </c>
      <c r="N363" s="84">
        <f t="shared" si="212"/>
        <v>0</v>
      </c>
      <c r="O363" s="84">
        <f t="shared" si="212"/>
        <v>0</v>
      </c>
      <c r="P363" s="84">
        <f t="shared" si="202"/>
        <v>4539521.37</v>
      </c>
      <c r="Q363" s="84">
        <f t="shared" si="203"/>
        <v>1044669.55</v>
      </c>
      <c r="R363" s="84">
        <f t="shared" si="204"/>
        <v>982384.98</v>
      </c>
    </row>
    <row r="364" spans="1:18">
      <c r="A364" s="2" t="s">
        <v>80</v>
      </c>
      <c r="B364" s="10" t="s">
        <v>63</v>
      </c>
      <c r="C364" s="10" t="s">
        <v>20</v>
      </c>
      <c r="D364" s="1" t="s">
        <v>49</v>
      </c>
      <c r="E364" s="1" t="s">
        <v>82</v>
      </c>
      <c r="F364" s="1" t="s">
        <v>70</v>
      </c>
      <c r="G364" s="1" t="s">
        <v>148</v>
      </c>
      <c r="H364" s="1" t="s">
        <v>234</v>
      </c>
      <c r="I364" s="74" t="s">
        <v>77</v>
      </c>
      <c r="J364" s="122">
        <f>J365</f>
        <v>4539521.37</v>
      </c>
      <c r="K364" s="122">
        <f t="shared" si="212"/>
        <v>1044669.55</v>
      </c>
      <c r="L364" s="122">
        <f t="shared" si="212"/>
        <v>982384.98</v>
      </c>
      <c r="M364" s="122">
        <f t="shared" si="212"/>
        <v>0</v>
      </c>
      <c r="N364" s="122">
        <f t="shared" si="212"/>
        <v>0</v>
      </c>
      <c r="O364" s="122">
        <f t="shared" si="212"/>
        <v>0</v>
      </c>
      <c r="P364" s="122">
        <f t="shared" si="202"/>
        <v>4539521.37</v>
      </c>
      <c r="Q364" s="122">
        <f t="shared" si="203"/>
        <v>1044669.55</v>
      </c>
      <c r="R364" s="122">
        <f t="shared" si="204"/>
        <v>982384.98</v>
      </c>
    </row>
    <row r="365" spans="1:18">
      <c r="A365" s="2" t="s">
        <v>105</v>
      </c>
      <c r="B365" s="10" t="s">
        <v>63</v>
      </c>
      <c r="C365" s="10" t="s">
        <v>20</v>
      </c>
      <c r="D365" s="1" t="s">
        <v>49</v>
      </c>
      <c r="E365" s="1" t="s">
        <v>82</v>
      </c>
      <c r="F365" s="1" t="s">
        <v>70</v>
      </c>
      <c r="G365" s="1" t="s">
        <v>148</v>
      </c>
      <c r="H365" s="1" t="s">
        <v>234</v>
      </c>
      <c r="I365" s="74" t="s">
        <v>104</v>
      </c>
      <c r="J365" s="84">
        <v>4539521.37</v>
      </c>
      <c r="K365" s="84">
        <v>1044669.55</v>
      </c>
      <c r="L365" s="84">
        <v>982384.98</v>
      </c>
      <c r="M365" s="84"/>
      <c r="N365" s="84"/>
      <c r="O365" s="84"/>
      <c r="P365" s="84">
        <f t="shared" si="202"/>
        <v>4539521.37</v>
      </c>
      <c r="Q365" s="84">
        <f t="shared" si="203"/>
        <v>1044669.55</v>
      </c>
      <c r="R365" s="84">
        <f t="shared" si="204"/>
        <v>982384.98</v>
      </c>
    </row>
    <row r="366" spans="1:18">
      <c r="A366" s="92" t="s">
        <v>434</v>
      </c>
      <c r="B366" s="10" t="s">
        <v>63</v>
      </c>
      <c r="C366" s="10" t="s">
        <v>20</v>
      </c>
      <c r="D366" s="1" t="s">
        <v>49</v>
      </c>
      <c r="E366" s="1" t="s">
        <v>82</v>
      </c>
      <c r="F366" s="1" t="s">
        <v>70</v>
      </c>
      <c r="G366" s="1" t="s">
        <v>148</v>
      </c>
      <c r="H366" s="37" t="s">
        <v>432</v>
      </c>
      <c r="I366" s="74"/>
      <c r="J366" s="84">
        <f>J367</f>
        <v>0</v>
      </c>
      <c r="K366" s="84">
        <f t="shared" ref="K366:O367" si="213">K367</f>
        <v>0</v>
      </c>
      <c r="L366" s="84">
        <f t="shared" si="213"/>
        <v>0</v>
      </c>
      <c r="M366" s="84">
        <f t="shared" si="213"/>
        <v>19800000</v>
      </c>
      <c r="N366" s="84">
        <f t="shared" si="213"/>
        <v>0</v>
      </c>
      <c r="O366" s="84">
        <f t="shared" si="213"/>
        <v>0</v>
      </c>
      <c r="P366" s="84">
        <f t="shared" ref="P366:P371" si="214">J366+M366</f>
        <v>19800000</v>
      </c>
      <c r="Q366" s="84">
        <f t="shared" ref="Q366:Q371" si="215">K366+N366</f>
        <v>0</v>
      </c>
      <c r="R366" s="84">
        <f t="shared" ref="R366:R371" si="216">L366+O366</f>
        <v>0</v>
      </c>
    </row>
    <row r="367" spans="1:18">
      <c r="A367" s="2" t="s">
        <v>80</v>
      </c>
      <c r="B367" s="10" t="s">
        <v>63</v>
      </c>
      <c r="C367" s="10" t="s">
        <v>20</v>
      </c>
      <c r="D367" s="1" t="s">
        <v>49</v>
      </c>
      <c r="E367" s="1" t="s">
        <v>82</v>
      </c>
      <c r="F367" s="1" t="s">
        <v>70</v>
      </c>
      <c r="G367" s="1" t="s">
        <v>148</v>
      </c>
      <c r="H367" s="37" t="s">
        <v>432</v>
      </c>
      <c r="I367" s="74" t="s">
        <v>77</v>
      </c>
      <c r="J367" s="84">
        <f>J368</f>
        <v>0</v>
      </c>
      <c r="K367" s="84">
        <f t="shared" si="213"/>
        <v>0</v>
      </c>
      <c r="L367" s="84">
        <f t="shared" si="213"/>
        <v>0</v>
      </c>
      <c r="M367" s="84">
        <f t="shared" si="213"/>
        <v>19800000</v>
      </c>
      <c r="N367" s="84">
        <f t="shared" si="213"/>
        <v>0</v>
      </c>
      <c r="O367" s="84">
        <f t="shared" si="213"/>
        <v>0</v>
      </c>
      <c r="P367" s="84">
        <f t="shared" si="214"/>
        <v>19800000</v>
      </c>
      <c r="Q367" s="84">
        <f t="shared" si="215"/>
        <v>0</v>
      </c>
      <c r="R367" s="84">
        <f t="shared" si="216"/>
        <v>0</v>
      </c>
    </row>
    <row r="368" spans="1:18">
      <c r="A368" s="2" t="s">
        <v>105</v>
      </c>
      <c r="B368" s="10" t="s">
        <v>63</v>
      </c>
      <c r="C368" s="10" t="s">
        <v>20</v>
      </c>
      <c r="D368" s="1" t="s">
        <v>49</v>
      </c>
      <c r="E368" s="1" t="s">
        <v>82</v>
      </c>
      <c r="F368" s="1" t="s">
        <v>70</v>
      </c>
      <c r="G368" s="1" t="s">
        <v>148</v>
      </c>
      <c r="H368" s="37" t="s">
        <v>432</v>
      </c>
      <c r="I368" s="74" t="s">
        <v>104</v>
      </c>
      <c r="J368" s="84"/>
      <c r="K368" s="84"/>
      <c r="L368" s="84"/>
      <c r="M368" s="84">
        <v>19800000</v>
      </c>
      <c r="N368" s="84"/>
      <c r="O368" s="84"/>
      <c r="P368" s="84">
        <f t="shared" si="214"/>
        <v>19800000</v>
      </c>
      <c r="Q368" s="84">
        <f t="shared" si="215"/>
        <v>0</v>
      </c>
      <c r="R368" s="84">
        <f t="shared" si="216"/>
        <v>0</v>
      </c>
    </row>
    <row r="369" spans="1:18" ht="25.5">
      <c r="A369" s="92" t="s">
        <v>435</v>
      </c>
      <c r="B369" s="10" t="s">
        <v>63</v>
      </c>
      <c r="C369" s="10" t="s">
        <v>20</v>
      </c>
      <c r="D369" s="1" t="s">
        <v>49</v>
      </c>
      <c r="E369" s="1" t="s">
        <v>82</v>
      </c>
      <c r="F369" s="1" t="s">
        <v>70</v>
      </c>
      <c r="G369" s="1" t="s">
        <v>148</v>
      </c>
      <c r="H369" s="37" t="s">
        <v>433</v>
      </c>
      <c r="I369" s="74"/>
      <c r="J369" s="84">
        <f>J370</f>
        <v>0</v>
      </c>
      <c r="K369" s="84">
        <f t="shared" ref="K369:O370" si="217">K370</f>
        <v>0</v>
      </c>
      <c r="L369" s="84">
        <f t="shared" si="217"/>
        <v>0</v>
      </c>
      <c r="M369" s="84">
        <f t="shared" si="217"/>
        <v>9908815.5299999993</v>
      </c>
      <c r="N369" s="84">
        <f t="shared" si="217"/>
        <v>0</v>
      </c>
      <c r="O369" s="84">
        <f t="shared" si="217"/>
        <v>0</v>
      </c>
      <c r="P369" s="84">
        <f t="shared" si="214"/>
        <v>9908815.5299999993</v>
      </c>
      <c r="Q369" s="84">
        <f t="shared" si="215"/>
        <v>0</v>
      </c>
      <c r="R369" s="84">
        <f t="shared" si="216"/>
        <v>0</v>
      </c>
    </row>
    <row r="370" spans="1:18">
      <c r="A370" s="2" t="s">
        <v>80</v>
      </c>
      <c r="B370" s="10" t="s">
        <v>63</v>
      </c>
      <c r="C370" s="10" t="s">
        <v>20</v>
      </c>
      <c r="D370" s="1" t="s">
        <v>49</v>
      </c>
      <c r="E370" s="1" t="s">
        <v>82</v>
      </c>
      <c r="F370" s="1" t="s">
        <v>70</v>
      </c>
      <c r="G370" s="1" t="s">
        <v>148</v>
      </c>
      <c r="H370" s="37" t="s">
        <v>433</v>
      </c>
      <c r="I370" s="74" t="s">
        <v>77</v>
      </c>
      <c r="J370" s="84">
        <f>J371</f>
        <v>0</v>
      </c>
      <c r="K370" s="84">
        <f t="shared" si="217"/>
        <v>0</v>
      </c>
      <c r="L370" s="84">
        <f t="shared" si="217"/>
        <v>0</v>
      </c>
      <c r="M370" s="84">
        <f t="shared" si="217"/>
        <v>9908815.5299999993</v>
      </c>
      <c r="N370" s="84">
        <f t="shared" si="217"/>
        <v>0</v>
      </c>
      <c r="O370" s="84">
        <f t="shared" si="217"/>
        <v>0</v>
      </c>
      <c r="P370" s="84">
        <f t="shared" si="214"/>
        <v>9908815.5299999993</v>
      </c>
      <c r="Q370" s="84">
        <f t="shared" si="215"/>
        <v>0</v>
      </c>
      <c r="R370" s="84">
        <f t="shared" si="216"/>
        <v>0</v>
      </c>
    </row>
    <row r="371" spans="1:18">
      <c r="A371" s="2" t="s">
        <v>105</v>
      </c>
      <c r="B371" s="10" t="s">
        <v>63</v>
      </c>
      <c r="C371" s="10" t="s">
        <v>20</v>
      </c>
      <c r="D371" s="1" t="s">
        <v>49</v>
      </c>
      <c r="E371" s="1" t="s">
        <v>82</v>
      </c>
      <c r="F371" s="1" t="s">
        <v>70</v>
      </c>
      <c r="G371" s="1" t="s">
        <v>148</v>
      </c>
      <c r="H371" s="37" t="s">
        <v>433</v>
      </c>
      <c r="I371" s="74" t="s">
        <v>104</v>
      </c>
      <c r="J371" s="84"/>
      <c r="K371" s="84"/>
      <c r="L371" s="84"/>
      <c r="M371" s="84">
        <f>10023815.53-115000</f>
        <v>9908815.5299999993</v>
      </c>
      <c r="N371" s="84"/>
      <c r="O371" s="84"/>
      <c r="P371" s="84">
        <f t="shared" si="214"/>
        <v>9908815.5299999993</v>
      </c>
      <c r="Q371" s="84">
        <f t="shared" si="215"/>
        <v>0</v>
      </c>
      <c r="R371" s="84">
        <f t="shared" si="216"/>
        <v>0</v>
      </c>
    </row>
    <row r="372" spans="1:18" ht="12.75" customHeight="1">
      <c r="A372" s="92"/>
      <c r="B372" s="36"/>
      <c r="C372" s="10"/>
      <c r="D372" s="1"/>
      <c r="E372" s="36"/>
      <c r="F372" s="36"/>
      <c r="G372" s="36"/>
      <c r="H372" s="37"/>
      <c r="I372" s="37"/>
      <c r="J372" s="84"/>
      <c r="K372" s="84"/>
      <c r="L372" s="84"/>
      <c r="M372" s="84"/>
      <c r="N372" s="84"/>
      <c r="O372" s="84"/>
      <c r="P372" s="84"/>
      <c r="Q372" s="84"/>
      <c r="R372" s="84"/>
    </row>
    <row r="373" spans="1:18" ht="25.5">
      <c r="A373" s="190" t="s">
        <v>409</v>
      </c>
      <c r="B373" s="47" t="s">
        <v>402</v>
      </c>
      <c r="C373" s="43"/>
      <c r="D373" s="43"/>
      <c r="E373" s="108"/>
      <c r="F373" s="93"/>
      <c r="G373" s="93"/>
      <c r="H373" s="93"/>
      <c r="I373" s="132"/>
      <c r="J373" s="118">
        <f t="shared" ref="J373:O373" si="218">J374+J461+J495+J569+J646+J667+J679+J721+J452+J659</f>
        <v>328066485.47999996</v>
      </c>
      <c r="K373" s="118">
        <f t="shared" si="218"/>
        <v>253793828.87000003</v>
      </c>
      <c r="L373" s="118">
        <f t="shared" si="218"/>
        <v>252725824.44999996</v>
      </c>
      <c r="M373" s="118">
        <f t="shared" si="218"/>
        <v>66998264.390000001</v>
      </c>
      <c r="N373" s="118">
        <f t="shared" si="218"/>
        <v>2224696.8899999997</v>
      </c>
      <c r="O373" s="118">
        <f t="shared" si="218"/>
        <v>-387860.32</v>
      </c>
      <c r="P373" s="118">
        <f t="shared" si="202"/>
        <v>395064749.86999995</v>
      </c>
      <c r="Q373" s="118">
        <f t="shared" si="203"/>
        <v>256018525.76000002</v>
      </c>
      <c r="R373" s="118">
        <f t="shared" si="204"/>
        <v>252337964.12999997</v>
      </c>
    </row>
    <row r="374" spans="1:18" ht="15.75">
      <c r="A374" s="25" t="s">
        <v>32</v>
      </c>
      <c r="B374" s="26" t="s">
        <v>402</v>
      </c>
      <c r="C374" s="26" t="s">
        <v>20</v>
      </c>
      <c r="D374" s="1"/>
      <c r="E374" s="1"/>
      <c r="F374" s="1"/>
      <c r="G374" s="1"/>
      <c r="H374" s="1"/>
      <c r="I374" s="1"/>
      <c r="J374" s="111">
        <f>J375+J381+J413+J419</f>
        <v>180738704.69999999</v>
      </c>
      <c r="K374" s="111">
        <f>K375+K381+K413+K419</f>
        <v>174496434.71000001</v>
      </c>
      <c r="L374" s="111">
        <f>L375+L381+L413+L419</f>
        <v>173562200.53999996</v>
      </c>
      <c r="M374" s="111">
        <f t="shared" ref="M374:O374" si="219">M375+M381+M413+M419</f>
        <v>148621.92000000001</v>
      </c>
      <c r="N374" s="111">
        <f t="shared" si="219"/>
        <v>-125879.68999999999</v>
      </c>
      <c r="O374" s="111">
        <f t="shared" si="219"/>
        <v>-519751.03</v>
      </c>
      <c r="P374" s="111">
        <f t="shared" si="202"/>
        <v>180887326.61999997</v>
      </c>
      <c r="Q374" s="111">
        <f t="shared" si="203"/>
        <v>174370555.02000001</v>
      </c>
      <c r="R374" s="111">
        <f t="shared" si="204"/>
        <v>173042449.50999996</v>
      </c>
    </row>
    <row r="375" spans="1:18" ht="25.5">
      <c r="A375" s="4" t="s">
        <v>45</v>
      </c>
      <c r="B375" s="14" t="s">
        <v>402</v>
      </c>
      <c r="C375" s="14" t="s">
        <v>20</v>
      </c>
      <c r="D375" s="15" t="s">
        <v>17</v>
      </c>
      <c r="E375" s="15"/>
      <c r="F375" s="15"/>
      <c r="G375" s="15"/>
      <c r="H375" s="15"/>
      <c r="I375" s="27"/>
      <c r="J375" s="112">
        <f t="shared" ref="J375:O378" si="220">J376</f>
        <v>3920905</v>
      </c>
      <c r="K375" s="112">
        <f t="shared" si="220"/>
        <v>3960114.35</v>
      </c>
      <c r="L375" s="112">
        <f t="shared" si="220"/>
        <v>3999715.49</v>
      </c>
      <c r="M375" s="112">
        <f t="shared" si="220"/>
        <v>0</v>
      </c>
      <c r="N375" s="112">
        <f t="shared" si="220"/>
        <v>0</v>
      </c>
      <c r="O375" s="112">
        <f t="shared" si="220"/>
        <v>0</v>
      </c>
      <c r="P375" s="112">
        <f t="shared" si="202"/>
        <v>3920905</v>
      </c>
      <c r="Q375" s="112">
        <f t="shared" si="203"/>
        <v>3960114.35</v>
      </c>
      <c r="R375" s="112">
        <f t="shared" si="204"/>
        <v>3999715.49</v>
      </c>
    </row>
    <row r="376" spans="1:18">
      <c r="A376" s="11" t="s">
        <v>83</v>
      </c>
      <c r="B376" s="60" t="s">
        <v>402</v>
      </c>
      <c r="C376" s="60" t="s">
        <v>20</v>
      </c>
      <c r="D376" s="60" t="s">
        <v>17</v>
      </c>
      <c r="E376" s="60" t="s">
        <v>82</v>
      </c>
      <c r="F376" s="60" t="s">
        <v>70</v>
      </c>
      <c r="G376" s="1" t="s">
        <v>148</v>
      </c>
      <c r="H376" s="1" t="s">
        <v>149</v>
      </c>
      <c r="I376" s="13"/>
      <c r="J376" s="84">
        <f t="shared" si="220"/>
        <v>3920905</v>
      </c>
      <c r="K376" s="84">
        <f t="shared" si="220"/>
        <v>3960114.35</v>
      </c>
      <c r="L376" s="84">
        <f t="shared" si="220"/>
        <v>3999715.49</v>
      </c>
      <c r="M376" s="84">
        <f t="shared" si="220"/>
        <v>0</v>
      </c>
      <c r="N376" s="84">
        <f t="shared" si="220"/>
        <v>0</v>
      </c>
      <c r="O376" s="84">
        <f t="shared" si="220"/>
        <v>0</v>
      </c>
      <c r="P376" s="84">
        <f t="shared" si="202"/>
        <v>3920905</v>
      </c>
      <c r="Q376" s="84">
        <f t="shared" si="203"/>
        <v>3960114.35</v>
      </c>
      <c r="R376" s="84">
        <f t="shared" si="204"/>
        <v>3999715.49</v>
      </c>
    </row>
    <row r="377" spans="1:18">
      <c r="A377" s="11" t="s">
        <v>330</v>
      </c>
      <c r="B377" s="60" t="s">
        <v>402</v>
      </c>
      <c r="C377" s="60" t="s">
        <v>20</v>
      </c>
      <c r="D377" s="60" t="s">
        <v>17</v>
      </c>
      <c r="E377" s="60" t="s">
        <v>82</v>
      </c>
      <c r="F377" s="60" t="s">
        <v>70</v>
      </c>
      <c r="G377" s="1" t="s">
        <v>148</v>
      </c>
      <c r="H377" s="1" t="s">
        <v>210</v>
      </c>
      <c r="I377" s="13"/>
      <c r="J377" s="84">
        <f t="shared" si="220"/>
        <v>3920905</v>
      </c>
      <c r="K377" s="84">
        <f t="shared" si="220"/>
        <v>3960114.35</v>
      </c>
      <c r="L377" s="84">
        <f t="shared" si="220"/>
        <v>3999715.49</v>
      </c>
      <c r="M377" s="84">
        <f t="shared" si="220"/>
        <v>0</v>
      </c>
      <c r="N377" s="84">
        <f t="shared" si="220"/>
        <v>0</v>
      </c>
      <c r="O377" s="84">
        <f t="shared" si="220"/>
        <v>0</v>
      </c>
      <c r="P377" s="84">
        <f t="shared" si="202"/>
        <v>3920905</v>
      </c>
      <c r="Q377" s="84">
        <f t="shared" si="203"/>
        <v>3960114.35</v>
      </c>
      <c r="R377" s="84">
        <f t="shared" si="204"/>
        <v>3999715.49</v>
      </c>
    </row>
    <row r="378" spans="1:18" ht="38.25">
      <c r="A378" s="78" t="s">
        <v>96</v>
      </c>
      <c r="B378" s="60" t="s">
        <v>402</v>
      </c>
      <c r="C378" s="60" t="s">
        <v>20</v>
      </c>
      <c r="D378" s="60" t="s">
        <v>17</v>
      </c>
      <c r="E378" s="60" t="s">
        <v>82</v>
      </c>
      <c r="F378" s="60" t="s">
        <v>70</v>
      </c>
      <c r="G378" s="1" t="s">
        <v>148</v>
      </c>
      <c r="H378" s="1" t="s">
        <v>210</v>
      </c>
      <c r="I378" s="13" t="s">
        <v>92</v>
      </c>
      <c r="J378" s="84">
        <f t="shared" si="220"/>
        <v>3920905</v>
      </c>
      <c r="K378" s="84">
        <f t="shared" si="220"/>
        <v>3960114.35</v>
      </c>
      <c r="L378" s="84">
        <f t="shared" si="220"/>
        <v>3999715.49</v>
      </c>
      <c r="M378" s="84">
        <f t="shared" si="220"/>
        <v>0</v>
      </c>
      <c r="N378" s="84">
        <f t="shared" si="220"/>
        <v>0</v>
      </c>
      <c r="O378" s="84">
        <f t="shared" si="220"/>
        <v>0</v>
      </c>
      <c r="P378" s="84">
        <f t="shared" si="202"/>
        <v>3920905</v>
      </c>
      <c r="Q378" s="84">
        <f t="shared" si="203"/>
        <v>3960114.35</v>
      </c>
      <c r="R378" s="84">
        <f t="shared" si="204"/>
        <v>3999715.49</v>
      </c>
    </row>
    <row r="379" spans="1:18">
      <c r="A379" s="78" t="s">
        <v>103</v>
      </c>
      <c r="B379" s="60" t="s">
        <v>402</v>
      </c>
      <c r="C379" s="60" t="s">
        <v>20</v>
      </c>
      <c r="D379" s="60" t="s">
        <v>17</v>
      </c>
      <c r="E379" s="60" t="s">
        <v>82</v>
      </c>
      <c r="F379" s="60" t="s">
        <v>70</v>
      </c>
      <c r="G379" s="1" t="s">
        <v>148</v>
      </c>
      <c r="H379" s="1" t="s">
        <v>210</v>
      </c>
      <c r="I379" s="13" t="s">
        <v>102</v>
      </c>
      <c r="J379" s="84">
        <v>3920905</v>
      </c>
      <c r="K379" s="84">
        <v>3960114.35</v>
      </c>
      <c r="L379" s="84">
        <v>3999715.49</v>
      </c>
      <c r="M379" s="84"/>
      <c r="N379" s="84"/>
      <c r="O379" s="84"/>
      <c r="P379" s="84">
        <f t="shared" si="202"/>
        <v>3920905</v>
      </c>
      <c r="Q379" s="84">
        <f t="shared" si="203"/>
        <v>3960114.35</v>
      </c>
      <c r="R379" s="84">
        <f t="shared" si="204"/>
        <v>3999715.49</v>
      </c>
    </row>
    <row r="380" spans="1:18" ht="15.75">
      <c r="A380" s="25"/>
      <c r="B380" s="60"/>
      <c r="C380" s="60"/>
      <c r="D380" s="60"/>
      <c r="E380" s="60"/>
      <c r="F380" s="60"/>
      <c r="G380" s="1"/>
      <c r="H380" s="1"/>
      <c r="I380" s="13"/>
      <c r="J380" s="111"/>
      <c r="K380" s="111"/>
      <c r="L380" s="111"/>
      <c r="M380" s="111"/>
      <c r="N380" s="111"/>
      <c r="O380" s="111"/>
      <c r="P380" s="111"/>
      <c r="Q380" s="111"/>
      <c r="R380" s="111"/>
    </row>
    <row r="381" spans="1:18" ht="40.5" customHeight="1">
      <c r="A381" s="24" t="s">
        <v>0</v>
      </c>
      <c r="B381" s="14" t="s">
        <v>402</v>
      </c>
      <c r="C381" s="14" t="s">
        <v>20</v>
      </c>
      <c r="D381" s="14" t="s">
        <v>16</v>
      </c>
      <c r="E381" s="14"/>
      <c r="F381" s="14"/>
      <c r="G381" s="14"/>
      <c r="H381" s="1"/>
      <c r="I381" s="13"/>
      <c r="J381" s="112">
        <f>J382+J386</f>
        <v>111104872.36999999</v>
      </c>
      <c r="K381" s="112">
        <f t="shared" ref="K381:L381" si="221">K382+K386</f>
        <v>112545617.75</v>
      </c>
      <c r="L381" s="112">
        <f t="shared" si="221"/>
        <v>112915487.33999999</v>
      </c>
      <c r="M381" s="112">
        <f t="shared" ref="M381:O381" si="222">M382+M386</f>
        <v>35011.340000000004</v>
      </c>
      <c r="N381" s="112">
        <f t="shared" si="222"/>
        <v>-124756.98999999999</v>
      </c>
      <c r="O381" s="112">
        <f t="shared" si="222"/>
        <v>-518547.05000000005</v>
      </c>
      <c r="P381" s="112">
        <f t="shared" si="202"/>
        <v>111139883.70999999</v>
      </c>
      <c r="Q381" s="112">
        <f t="shared" si="203"/>
        <v>112420860.76000001</v>
      </c>
      <c r="R381" s="112">
        <f t="shared" si="204"/>
        <v>112396940.28999999</v>
      </c>
    </row>
    <row r="382" spans="1:18" ht="38.25">
      <c r="A382" s="2" t="s">
        <v>288</v>
      </c>
      <c r="B382" s="1" t="s">
        <v>402</v>
      </c>
      <c r="C382" s="1" t="s">
        <v>20</v>
      </c>
      <c r="D382" s="1" t="s">
        <v>16</v>
      </c>
      <c r="E382" s="1" t="s">
        <v>13</v>
      </c>
      <c r="F382" s="1" t="s">
        <v>70</v>
      </c>
      <c r="G382" s="1" t="s">
        <v>148</v>
      </c>
      <c r="H382" s="1" t="s">
        <v>149</v>
      </c>
      <c r="I382" s="13"/>
      <c r="J382" s="84">
        <f t="shared" ref="J382:O384" si="223">J383</f>
        <v>35000</v>
      </c>
      <c r="K382" s="84">
        <f t="shared" si="223"/>
        <v>35000</v>
      </c>
      <c r="L382" s="84">
        <f t="shared" si="223"/>
        <v>35000</v>
      </c>
      <c r="M382" s="84">
        <f t="shared" si="223"/>
        <v>0</v>
      </c>
      <c r="N382" s="84">
        <f t="shared" si="223"/>
        <v>0</v>
      </c>
      <c r="O382" s="84">
        <f t="shared" si="223"/>
        <v>0</v>
      </c>
      <c r="P382" s="84">
        <f t="shared" si="202"/>
        <v>35000</v>
      </c>
      <c r="Q382" s="84">
        <f t="shared" si="203"/>
        <v>35000</v>
      </c>
      <c r="R382" s="84">
        <f t="shared" si="204"/>
        <v>35000</v>
      </c>
    </row>
    <row r="383" spans="1:18" ht="25.5">
      <c r="A383" s="2" t="s">
        <v>62</v>
      </c>
      <c r="B383" s="1" t="s">
        <v>402</v>
      </c>
      <c r="C383" s="1" t="s">
        <v>20</v>
      </c>
      <c r="D383" s="1" t="s">
        <v>16</v>
      </c>
      <c r="E383" s="1" t="s">
        <v>13</v>
      </c>
      <c r="F383" s="1" t="s">
        <v>70</v>
      </c>
      <c r="G383" s="1" t="s">
        <v>148</v>
      </c>
      <c r="H383" s="1" t="s">
        <v>173</v>
      </c>
      <c r="I383" s="13"/>
      <c r="J383" s="84">
        <f t="shared" si="223"/>
        <v>35000</v>
      </c>
      <c r="K383" s="84">
        <f t="shared" si="223"/>
        <v>35000</v>
      </c>
      <c r="L383" s="84">
        <f t="shared" si="223"/>
        <v>35000</v>
      </c>
      <c r="M383" s="84">
        <f t="shared" si="223"/>
        <v>0</v>
      </c>
      <c r="N383" s="84">
        <f t="shared" si="223"/>
        <v>0</v>
      </c>
      <c r="O383" s="84">
        <f t="shared" si="223"/>
        <v>0</v>
      </c>
      <c r="P383" s="84">
        <f t="shared" si="202"/>
        <v>35000</v>
      </c>
      <c r="Q383" s="84">
        <f t="shared" si="203"/>
        <v>35000</v>
      </c>
      <c r="R383" s="84">
        <f t="shared" si="204"/>
        <v>35000</v>
      </c>
    </row>
    <row r="384" spans="1:18" ht="25.5">
      <c r="A384" s="80" t="s">
        <v>260</v>
      </c>
      <c r="B384" s="1" t="s">
        <v>402</v>
      </c>
      <c r="C384" s="1" t="s">
        <v>20</v>
      </c>
      <c r="D384" s="1" t="s">
        <v>16</v>
      </c>
      <c r="E384" s="1" t="s">
        <v>13</v>
      </c>
      <c r="F384" s="1" t="s">
        <v>70</v>
      </c>
      <c r="G384" s="1" t="s">
        <v>148</v>
      </c>
      <c r="H384" s="1" t="s">
        <v>173</v>
      </c>
      <c r="I384" s="13" t="s">
        <v>94</v>
      </c>
      <c r="J384" s="84">
        <f t="shared" si="223"/>
        <v>35000</v>
      </c>
      <c r="K384" s="84">
        <f t="shared" si="223"/>
        <v>35000</v>
      </c>
      <c r="L384" s="84">
        <f t="shared" si="223"/>
        <v>35000</v>
      </c>
      <c r="M384" s="84">
        <f t="shared" si="223"/>
        <v>0</v>
      </c>
      <c r="N384" s="84">
        <f t="shared" si="223"/>
        <v>0</v>
      </c>
      <c r="O384" s="84">
        <f t="shared" si="223"/>
        <v>0</v>
      </c>
      <c r="P384" s="84">
        <f t="shared" si="202"/>
        <v>35000</v>
      </c>
      <c r="Q384" s="84">
        <f t="shared" si="203"/>
        <v>35000</v>
      </c>
      <c r="R384" s="84">
        <f t="shared" si="204"/>
        <v>35000</v>
      </c>
    </row>
    <row r="385" spans="1:18" ht="25.5">
      <c r="A385" s="78" t="s">
        <v>98</v>
      </c>
      <c r="B385" s="1" t="s">
        <v>402</v>
      </c>
      <c r="C385" s="1" t="s">
        <v>20</v>
      </c>
      <c r="D385" s="1" t="s">
        <v>16</v>
      </c>
      <c r="E385" s="1" t="s">
        <v>13</v>
      </c>
      <c r="F385" s="1" t="s">
        <v>70</v>
      </c>
      <c r="G385" s="1" t="s">
        <v>148</v>
      </c>
      <c r="H385" s="1" t="s">
        <v>173</v>
      </c>
      <c r="I385" s="13" t="s">
        <v>95</v>
      </c>
      <c r="J385" s="84">
        <v>35000</v>
      </c>
      <c r="K385" s="84">
        <v>35000</v>
      </c>
      <c r="L385" s="84">
        <v>35000</v>
      </c>
      <c r="M385" s="84"/>
      <c r="N385" s="84"/>
      <c r="O385" s="84"/>
      <c r="P385" s="84">
        <f t="shared" si="202"/>
        <v>35000</v>
      </c>
      <c r="Q385" s="84">
        <f t="shared" si="203"/>
        <v>35000</v>
      </c>
      <c r="R385" s="84">
        <f t="shared" si="204"/>
        <v>35000</v>
      </c>
    </row>
    <row r="386" spans="1:18">
      <c r="A386" s="11" t="s">
        <v>83</v>
      </c>
      <c r="B386" s="1" t="s">
        <v>402</v>
      </c>
      <c r="C386" s="1" t="s">
        <v>20</v>
      </c>
      <c r="D386" s="1" t="s">
        <v>16</v>
      </c>
      <c r="E386" s="1" t="s">
        <v>82</v>
      </c>
      <c r="F386" s="1" t="s">
        <v>70</v>
      </c>
      <c r="G386" s="1" t="s">
        <v>148</v>
      </c>
      <c r="H386" s="1" t="s">
        <v>149</v>
      </c>
      <c r="I386" s="13"/>
      <c r="J386" s="84">
        <f>J387+J394+J402+J407+J397</f>
        <v>111069872.36999999</v>
      </c>
      <c r="K386" s="84">
        <f>K387+K394+K402+K407+K397</f>
        <v>112510617.75</v>
      </c>
      <c r="L386" s="84">
        <f>L387+L394+L402+L407+L397</f>
        <v>112880487.33999999</v>
      </c>
      <c r="M386" s="84">
        <f t="shared" ref="M386:O386" si="224">M387+M394+M402+M407+M397</f>
        <v>35011.340000000004</v>
      </c>
      <c r="N386" s="84">
        <f t="shared" si="224"/>
        <v>-124756.98999999999</v>
      </c>
      <c r="O386" s="84">
        <f t="shared" si="224"/>
        <v>-518547.05000000005</v>
      </c>
      <c r="P386" s="84">
        <f t="shared" si="202"/>
        <v>111104883.70999999</v>
      </c>
      <c r="Q386" s="84">
        <f t="shared" si="203"/>
        <v>112385860.76000001</v>
      </c>
      <c r="R386" s="84">
        <f t="shared" si="204"/>
        <v>112361940.28999999</v>
      </c>
    </row>
    <row r="387" spans="1:18" ht="25.5">
      <c r="A387" s="11" t="s">
        <v>87</v>
      </c>
      <c r="B387" s="1" t="s">
        <v>402</v>
      </c>
      <c r="C387" s="1" t="s">
        <v>20</v>
      </c>
      <c r="D387" s="1" t="s">
        <v>16</v>
      </c>
      <c r="E387" s="1" t="s">
        <v>82</v>
      </c>
      <c r="F387" s="1" t="s">
        <v>70</v>
      </c>
      <c r="G387" s="1" t="s">
        <v>148</v>
      </c>
      <c r="H387" s="1" t="s">
        <v>158</v>
      </c>
      <c r="I387" s="13"/>
      <c r="J387" s="84">
        <f>J388+J390+J392</f>
        <v>106849208</v>
      </c>
      <c r="K387" s="84">
        <f t="shared" ref="K387:L387" si="225">K388+K390+K392</f>
        <v>107949688.8</v>
      </c>
      <c r="L387" s="84">
        <f t="shared" si="225"/>
        <v>107777641.72</v>
      </c>
      <c r="M387" s="84">
        <f t="shared" ref="M387:O387" si="226">M388+M390+M392</f>
        <v>0</v>
      </c>
      <c r="N387" s="84">
        <f t="shared" si="226"/>
        <v>0</v>
      </c>
      <c r="O387" s="84">
        <f t="shared" si="226"/>
        <v>0</v>
      </c>
      <c r="P387" s="84">
        <f t="shared" si="202"/>
        <v>106849208</v>
      </c>
      <c r="Q387" s="84">
        <f t="shared" si="203"/>
        <v>107949688.8</v>
      </c>
      <c r="R387" s="84">
        <f t="shared" si="204"/>
        <v>107777641.72</v>
      </c>
    </row>
    <row r="388" spans="1:18" ht="38.25">
      <c r="A388" s="78" t="s">
        <v>96</v>
      </c>
      <c r="B388" s="1" t="s">
        <v>402</v>
      </c>
      <c r="C388" s="1" t="s">
        <v>20</v>
      </c>
      <c r="D388" s="1" t="s">
        <v>16</v>
      </c>
      <c r="E388" s="1" t="s">
        <v>82</v>
      </c>
      <c r="F388" s="1" t="s">
        <v>70</v>
      </c>
      <c r="G388" s="1" t="s">
        <v>148</v>
      </c>
      <c r="H388" s="1" t="s">
        <v>158</v>
      </c>
      <c r="I388" s="13" t="s">
        <v>92</v>
      </c>
      <c r="J388" s="84">
        <f>J389</f>
        <v>98207344</v>
      </c>
      <c r="K388" s="84">
        <f t="shared" ref="K388:O388" si="227">K389</f>
        <v>99168818.319999993</v>
      </c>
      <c r="L388" s="84">
        <f t="shared" si="227"/>
        <v>99559906.5</v>
      </c>
      <c r="M388" s="84">
        <f t="shared" si="227"/>
        <v>0</v>
      </c>
      <c r="N388" s="84">
        <f t="shared" si="227"/>
        <v>0</v>
      </c>
      <c r="O388" s="84">
        <f t="shared" si="227"/>
        <v>0</v>
      </c>
      <c r="P388" s="84">
        <f t="shared" si="202"/>
        <v>98207344</v>
      </c>
      <c r="Q388" s="84">
        <f t="shared" si="203"/>
        <v>99168818.319999993</v>
      </c>
      <c r="R388" s="84">
        <f t="shared" si="204"/>
        <v>99559906.5</v>
      </c>
    </row>
    <row r="389" spans="1:18">
      <c r="A389" s="78" t="s">
        <v>103</v>
      </c>
      <c r="B389" s="1" t="s">
        <v>402</v>
      </c>
      <c r="C389" s="1" t="s">
        <v>20</v>
      </c>
      <c r="D389" s="1" t="s">
        <v>16</v>
      </c>
      <c r="E389" s="1" t="s">
        <v>82</v>
      </c>
      <c r="F389" s="1" t="s">
        <v>70</v>
      </c>
      <c r="G389" s="1" t="s">
        <v>148</v>
      </c>
      <c r="H389" s="1" t="s">
        <v>158</v>
      </c>
      <c r="I389" s="13" t="s">
        <v>102</v>
      </c>
      <c r="J389" s="84">
        <f>51415054+46792290</f>
        <v>98207344</v>
      </c>
      <c r="K389" s="84">
        <f>51921605.29+47247213.03</f>
        <v>99168818.319999993</v>
      </c>
      <c r="L389" s="84">
        <f>52303221.34+47256685.16</f>
        <v>99559906.5</v>
      </c>
      <c r="M389" s="84"/>
      <c r="N389" s="84"/>
      <c r="O389" s="84"/>
      <c r="P389" s="84">
        <f t="shared" si="202"/>
        <v>98207344</v>
      </c>
      <c r="Q389" s="84">
        <f t="shared" si="203"/>
        <v>99168818.319999993</v>
      </c>
      <c r="R389" s="84">
        <f t="shared" si="204"/>
        <v>99559906.5</v>
      </c>
    </row>
    <row r="390" spans="1:18" ht="25.5">
      <c r="A390" s="80" t="s">
        <v>260</v>
      </c>
      <c r="B390" s="1" t="s">
        <v>402</v>
      </c>
      <c r="C390" s="1" t="s">
        <v>20</v>
      </c>
      <c r="D390" s="1" t="s">
        <v>16</v>
      </c>
      <c r="E390" s="1" t="s">
        <v>82</v>
      </c>
      <c r="F390" s="1" t="s">
        <v>70</v>
      </c>
      <c r="G390" s="1" t="s">
        <v>148</v>
      </c>
      <c r="H390" s="1" t="s">
        <v>158</v>
      </c>
      <c r="I390" s="13" t="s">
        <v>94</v>
      </c>
      <c r="J390" s="84">
        <f>J391</f>
        <v>8371864</v>
      </c>
      <c r="K390" s="84">
        <f t="shared" ref="K390:O390" si="228">K391</f>
        <v>8510870.4800000004</v>
      </c>
      <c r="L390" s="84">
        <f t="shared" si="228"/>
        <v>7947735.2199999997</v>
      </c>
      <c r="M390" s="84">
        <f t="shared" si="228"/>
        <v>0</v>
      </c>
      <c r="N390" s="84">
        <f t="shared" si="228"/>
        <v>0</v>
      </c>
      <c r="O390" s="84">
        <f t="shared" si="228"/>
        <v>0</v>
      </c>
      <c r="P390" s="84">
        <f t="shared" si="202"/>
        <v>8371864</v>
      </c>
      <c r="Q390" s="84">
        <f t="shared" si="203"/>
        <v>8510870.4800000004</v>
      </c>
      <c r="R390" s="84">
        <f t="shared" si="204"/>
        <v>7947735.2199999997</v>
      </c>
    </row>
    <row r="391" spans="1:18" ht="25.5">
      <c r="A391" s="78" t="s">
        <v>98</v>
      </c>
      <c r="B391" s="1" t="s">
        <v>402</v>
      </c>
      <c r="C391" s="1" t="s">
        <v>20</v>
      </c>
      <c r="D391" s="1" t="s">
        <v>16</v>
      </c>
      <c r="E391" s="1" t="s">
        <v>82</v>
      </c>
      <c r="F391" s="1" t="s">
        <v>70</v>
      </c>
      <c r="G391" s="1" t="s">
        <v>148</v>
      </c>
      <c r="H391" s="1" t="s">
        <v>158</v>
      </c>
      <c r="I391" s="13" t="s">
        <v>95</v>
      </c>
      <c r="J391" s="84">
        <f>3450000+4921864</f>
        <v>8371864</v>
      </c>
      <c r="K391" s="84">
        <f>3450000+5060870.48</f>
        <v>8510870.4800000004</v>
      </c>
      <c r="L391" s="84">
        <f>3080000+4867735.22</f>
        <v>7947735.2199999997</v>
      </c>
      <c r="M391" s="84"/>
      <c r="N391" s="84"/>
      <c r="O391" s="84"/>
      <c r="P391" s="84">
        <f t="shared" si="202"/>
        <v>8371864</v>
      </c>
      <c r="Q391" s="84">
        <f t="shared" si="203"/>
        <v>8510870.4800000004</v>
      </c>
      <c r="R391" s="84">
        <f t="shared" si="204"/>
        <v>7947735.2199999997</v>
      </c>
    </row>
    <row r="392" spans="1:18">
      <c r="A392" s="78" t="s">
        <v>80</v>
      </c>
      <c r="B392" s="1" t="s">
        <v>402</v>
      </c>
      <c r="C392" s="1" t="s">
        <v>20</v>
      </c>
      <c r="D392" s="1" t="s">
        <v>16</v>
      </c>
      <c r="E392" s="1" t="s">
        <v>82</v>
      </c>
      <c r="F392" s="1" t="s">
        <v>70</v>
      </c>
      <c r="G392" s="1" t="s">
        <v>148</v>
      </c>
      <c r="H392" s="1" t="s">
        <v>158</v>
      </c>
      <c r="I392" s="13" t="s">
        <v>77</v>
      </c>
      <c r="J392" s="84">
        <f>J393</f>
        <v>270000</v>
      </c>
      <c r="K392" s="84">
        <f t="shared" ref="K392:O392" si="229">K393</f>
        <v>270000</v>
      </c>
      <c r="L392" s="84">
        <f t="shared" si="229"/>
        <v>270000</v>
      </c>
      <c r="M392" s="84">
        <f t="shared" si="229"/>
        <v>0</v>
      </c>
      <c r="N392" s="84">
        <f t="shared" si="229"/>
        <v>0</v>
      </c>
      <c r="O392" s="84">
        <f t="shared" si="229"/>
        <v>0</v>
      </c>
      <c r="P392" s="84">
        <f t="shared" si="202"/>
        <v>270000</v>
      </c>
      <c r="Q392" s="84">
        <f t="shared" si="203"/>
        <v>270000</v>
      </c>
      <c r="R392" s="84">
        <f t="shared" si="204"/>
        <v>270000</v>
      </c>
    </row>
    <row r="393" spans="1:18">
      <c r="A393" s="83" t="s">
        <v>125</v>
      </c>
      <c r="B393" s="1" t="s">
        <v>402</v>
      </c>
      <c r="C393" s="1" t="s">
        <v>20</v>
      </c>
      <c r="D393" s="1" t="s">
        <v>16</v>
      </c>
      <c r="E393" s="1" t="s">
        <v>82</v>
      </c>
      <c r="F393" s="1" t="s">
        <v>70</v>
      </c>
      <c r="G393" s="1" t="s">
        <v>148</v>
      </c>
      <c r="H393" s="1" t="s">
        <v>158</v>
      </c>
      <c r="I393" s="13" t="s">
        <v>124</v>
      </c>
      <c r="J393" s="84">
        <f>150000+120000</f>
        <v>270000</v>
      </c>
      <c r="K393" s="84">
        <f>150000+120000</f>
        <v>270000</v>
      </c>
      <c r="L393" s="84">
        <f>150000+120000</f>
        <v>270000</v>
      </c>
      <c r="M393" s="84"/>
      <c r="N393" s="84"/>
      <c r="O393" s="84"/>
      <c r="P393" s="84">
        <f t="shared" si="202"/>
        <v>270000</v>
      </c>
      <c r="Q393" s="84">
        <f t="shared" si="203"/>
        <v>270000</v>
      </c>
      <c r="R393" s="84">
        <f t="shared" si="204"/>
        <v>270000</v>
      </c>
    </row>
    <row r="394" spans="1:18">
      <c r="A394" s="78" t="s">
        <v>90</v>
      </c>
      <c r="B394" s="1" t="s">
        <v>402</v>
      </c>
      <c r="C394" s="1" t="s">
        <v>20</v>
      </c>
      <c r="D394" s="1" t="s">
        <v>16</v>
      </c>
      <c r="E394" s="1" t="s">
        <v>82</v>
      </c>
      <c r="F394" s="1" t="s">
        <v>70</v>
      </c>
      <c r="G394" s="1" t="s">
        <v>148</v>
      </c>
      <c r="H394" s="1" t="s">
        <v>174</v>
      </c>
      <c r="I394" s="13"/>
      <c r="J394" s="84">
        <f>J395</f>
        <v>300000</v>
      </c>
      <c r="K394" s="84">
        <f t="shared" ref="K394:O395" si="230">K395</f>
        <v>300000</v>
      </c>
      <c r="L394" s="84">
        <f t="shared" si="230"/>
        <v>300000</v>
      </c>
      <c r="M394" s="84">
        <f t="shared" si="230"/>
        <v>0</v>
      </c>
      <c r="N394" s="84">
        <f t="shared" si="230"/>
        <v>0</v>
      </c>
      <c r="O394" s="84">
        <f t="shared" si="230"/>
        <v>0</v>
      </c>
      <c r="P394" s="84">
        <f t="shared" si="202"/>
        <v>300000</v>
      </c>
      <c r="Q394" s="84">
        <f t="shared" si="203"/>
        <v>300000</v>
      </c>
      <c r="R394" s="84">
        <f t="shared" si="204"/>
        <v>300000</v>
      </c>
    </row>
    <row r="395" spans="1:18" ht="25.5">
      <c r="A395" s="80" t="s">
        <v>260</v>
      </c>
      <c r="B395" s="1" t="s">
        <v>402</v>
      </c>
      <c r="C395" s="1" t="s">
        <v>20</v>
      </c>
      <c r="D395" s="1" t="s">
        <v>16</v>
      </c>
      <c r="E395" s="1" t="s">
        <v>82</v>
      </c>
      <c r="F395" s="1" t="s">
        <v>70</v>
      </c>
      <c r="G395" s="1" t="s">
        <v>148</v>
      </c>
      <c r="H395" s="1" t="s">
        <v>174</v>
      </c>
      <c r="I395" s="13" t="s">
        <v>94</v>
      </c>
      <c r="J395" s="84">
        <f>J396</f>
        <v>300000</v>
      </c>
      <c r="K395" s="84">
        <f t="shared" si="230"/>
        <v>300000</v>
      </c>
      <c r="L395" s="84">
        <f t="shared" si="230"/>
        <v>300000</v>
      </c>
      <c r="M395" s="84">
        <f t="shared" si="230"/>
        <v>0</v>
      </c>
      <c r="N395" s="84">
        <f t="shared" si="230"/>
        <v>0</v>
      </c>
      <c r="O395" s="84">
        <f t="shared" si="230"/>
        <v>0</v>
      </c>
      <c r="P395" s="84">
        <f t="shared" si="202"/>
        <v>300000</v>
      </c>
      <c r="Q395" s="84">
        <f t="shared" si="203"/>
        <v>300000</v>
      </c>
      <c r="R395" s="84">
        <f t="shared" si="204"/>
        <v>300000</v>
      </c>
    </row>
    <row r="396" spans="1:18" ht="25.5">
      <c r="A396" s="78" t="s">
        <v>98</v>
      </c>
      <c r="B396" s="1" t="s">
        <v>402</v>
      </c>
      <c r="C396" s="1" t="s">
        <v>20</v>
      </c>
      <c r="D396" s="1" t="s">
        <v>16</v>
      </c>
      <c r="E396" s="1" t="s">
        <v>82</v>
      </c>
      <c r="F396" s="1" t="s">
        <v>70</v>
      </c>
      <c r="G396" s="1" t="s">
        <v>148</v>
      </c>
      <c r="H396" s="1" t="s">
        <v>174</v>
      </c>
      <c r="I396" s="13" t="s">
        <v>95</v>
      </c>
      <c r="J396" s="84">
        <v>300000</v>
      </c>
      <c r="K396" s="84">
        <v>300000</v>
      </c>
      <c r="L396" s="84">
        <v>300000</v>
      </c>
      <c r="M396" s="84"/>
      <c r="N396" s="84"/>
      <c r="O396" s="84"/>
      <c r="P396" s="84">
        <f t="shared" si="202"/>
        <v>300000</v>
      </c>
      <c r="Q396" s="84">
        <f t="shared" si="203"/>
        <v>300000</v>
      </c>
      <c r="R396" s="84">
        <f t="shared" si="204"/>
        <v>300000</v>
      </c>
    </row>
    <row r="397" spans="1:18">
      <c r="A397" s="2" t="s">
        <v>76</v>
      </c>
      <c r="B397" s="1" t="s">
        <v>402</v>
      </c>
      <c r="C397" s="1" t="s">
        <v>20</v>
      </c>
      <c r="D397" s="1" t="s">
        <v>16</v>
      </c>
      <c r="E397" s="1" t="s">
        <v>82</v>
      </c>
      <c r="F397" s="1" t="s">
        <v>70</v>
      </c>
      <c r="G397" s="1" t="s">
        <v>148</v>
      </c>
      <c r="H397" s="1" t="s">
        <v>176</v>
      </c>
      <c r="I397" s="13"/>
      <c r="J397" s="84">
        <f>J398+J400</f>
        <v>545094.90999999992</v>
      </c>
      <c r="K397" s="84">
        <f t="shared" ref="K397:L397" si="231">K398+K400</f>
        <v>593704.14</v>
      </c>
      <c r="L397" s="84">
        <f t="shared" si="231"/>
        <v>671120.81</v>
      </c>
      <c r="M397" s="84">
        <f t="shared" ref="M397:O397" si="232">M398+M400</f>
        <v>5001.62</v>
      </c>
      <c r="N397" s="84">
        <f t="shared" si="232"/>
        <v>-17822.43</v>
      </c>
      <c r="O397" s="84">
        <f t="shared" si="232"/>
        <v>-74078.16</v>
      </c>
      <c r="P397" s="84">
        <f t="shared" si="202"/>
        <v>550096.52999999991</v>
      </c>
      <c r="Q397" s="84">
        <f t="shared" si="203"/>
        <v>575881.71</v>
      </c>
      <c r="R397" s="84">
        <f t="shared" si="204"/>
        <v>597042.65</v>
      </c>
    </row>
    <row r="398" spans="1:18" ht="38.25">
      <c r="A398" s="78" t="s">
        <v>96</v>
      </c>
      <c r="B398" s="1" t="s">
        <v>402</v>
      </c>
      <c r="C398" s="1" t="s">
        <v>20</v>
      </c>
      <c r="D398" s="1" t="s">
        <v>16</v>
      </c>
      <c r="E398" s="1" t="s">
        <v>82</v>
      </c>
      <c r="F398" s="1" t="s">
        <v>70</v>
      </c>
      <c r="G398" s="1" t="s">
        <v>148</v>
      </c>
      <c r="H398" s="1" t="s">
        <v>176</v>
      </c>
      <c r="I398" s="13" t="s">
        <v>92</v>
      </c>
      <c r="J398" s="84">
        <f>J399</f>
        <v>510094.91</v>
      </c>
      <c r="K398" s="84">
        <f t="shared" ref="K398:O398" si="233">K399</f>
        <v>558704.14</v>
      </c>
      <c r="L398" s="84">
        <f t="shared" si="233"/>
        <v>636120.81000000006</v>
      </c>
      <c r="M398" s="84">
        <f t="shared" si="233"/>
        <v>5001.62</v>
      </c>
      <c r="N398" s="84">
        <f t="shared" si="233"/>
        <v>-17822.43</v>
      </c>
      <c r="O398" s="84">
        <f t="shared" si="233"/>
        <v>-74078.16</v>
      </c>
      <c r="P398" s="84">
        <f t="shared" si="202"/>
        <v>515096.52999999997</v>
      </c>
      <c r="Q398" s="84">
        <f t="shared" si="203"/>
        <v>540881.71</v>
      </c>
      <c r="R398" s="84">
        <f t="shared" si="204"/>
        <v>562042.65</v>
      </c>
    </row>
    <row r="399" spans="1:18">
      <c r="A399" s="78" t="s">
        <v>103</v>
      </c>
      <c r="B399" s="1" t="s">
        <v>402</v>
      </c>
      <c r="C399" s="1" t="s">
        <v>20</v>
      </c>
      <c r="D399" s="1" t="s">
        <v>16</v>
      </c>
      <c r="E399" s="1" t="s">
        <v>82</v>
      </c>
      <c r="F399" s="1" t="s">
        <v>70</v>
      </c>
      <c r="G399" s="1" t="s">
        <v>148</v>
      </c>
      <c r="H399" s="1" t="s">
        <v>176</v>
      </c>
      <c r="I399" s="13" t="s">
        <v>102</v>
      </c>
      <c r="J399" s="84">
        <f>500094.91+10000</f>
        <v>510094.91</v>
      </c>
      <c r="K399" s="84">
        <f>548704.14+10000</f>
        <v>558704.14</v>
      </c>
      <c r="L399" s="84">
        <f>626120.81+10000</f>
        <v>636120.81000000006</v>
      </c>
      <c r="M399" s="84">
        <v>5001.62</v>
      </c>
      <c r="N399" s="84">
        <v>-17822.43</v>
      </c>
      <c r="O399" s="84">
        <v>-74078.16</v>
      </c>
      <c r="P399" s="84">
        <f t="shared" si="202"/>
        <v>515096.52999999997</v>
      </c>
      <c r="Q399" s="84">
        <f t="shared" si="203"/>
        <v>540881.71</v>
      </c>
      <c r="R399" s="84">
        <f t="shared" si="204"/>
        <v>562042.65</v>
      </c>
    </row>
    <row r="400" spans="1:18" ht="25.5">
      <c r="A400" s="80" t="s">
        <v>260</v>
      </c>
      <c r="B400" s="1" t="s">
        <v>402</v>
      </c>
      <c r="C400" s="1" t="s">
        <v>20</v>
      </c>
      <c r="D400" s="1" t="s">
        <v>16</v>
      </c>
      <c r="E400" s="1" t="s">
        <v>82</v>
      </c>
      <c r="F400" s="1" t="s">
        <v>70</v>
      </c>
      <c r="G400" s="1" t="s">
        <v>148</v>
      </c>
      <c r="H400" s="1" t="s">
        <v>176</v>
      </c>
      <c r="I400" s="13" t="s">
        <v>94</v>
      </c>
      <c r="J400" s="84">
        <f>J401</f>
        <v>35000</v>
      </c>
      <c r="K400" s="84">
        <f t="shared" ref="K400:O400" si="234">K401</f>
        <v>35000</v>
      </c>
      <c r="L400" s="84">
        <f t="shared" si="234"/>
        <v>35000</v>
      </c>
      <c r="M400" s="84">
        <f t="shared" si="234"/>
        <v>0</v>
      </c>
      <c r="N400" s="84">
        <f t="shared" si="234"/>
        <v>0</v>
      </c>
      <c r="O400" s="84">
        <f t="shared" si="234"/>
        <v>0</v>
      </c>
      <c r="P400" s="84">
        <f t="shared" si="202"/>
        <v>35000</v>
      </c>
      <c r="Q400" s="84">
        <f t="shared" si="203"/>
        <v>35000</v>
      </c>
      <c r="R400" s="84">
        <f t="shared" si="204"/>
        <v>35000</v>
      </c>
    </row>
    <row r="401" spans="1:18" ht="25.5">
      <c r="A401" s="78" t="s">
        <v>98</v>
      </c>
      <c r="B401" s="1" t="s">
        <v>402</v>
      </c>
      <c r="C401" s="1" t="s">
        <v>20</v>
      </c>
      <c r="D401" s="1" t="s">
        <v>16</v>
      </c>
      <c r="E401" s="1" t="s">
        <v>82</v>
      </c>
      <c r="F401" s="1" t="s">
        <v>70</v>
      </c>
      <c r="G401" s="1" t="s">
        <v>148</v>
      </c>
      <c r="H401" s="1" t="s">
        <v>176</v>
      </c>
      <c r="I401" s="13" t="s">
        <v>95</v>
      </c>
      <c r="J401" s="84">
        <v>35000</v>
      </c>
      <c r="K401" s="84">
        <v>35000</v>
      </c>
      <c r="L401" s="84">
        <v>35000</v>
      </c>
      <c r="M401" s="84"/>
      <c r="N401" s="84"/>
      <c r="O401" s="84"/>
      <c r="P401" s="84">
        <f t="shared" si="202"/>
        <v>35000</v>
      </c>
      <c r="Q401" s="84">
        <f t="shared" si="203"/>
        <v>35000</v>
      </c>
      <c r="R401" s="84">
        <f t="shared" si="204"/>
        <v>35000</v>
      </c>
    </row>
    <row r="402" spans="1:18" ht="51">
      <c r="A402" s="2" t="s">
        <v>231</v>
      </c>
      <c r="B402" s="1" t="s">
        <v>402</v>
      </c>
      <c r="C402" s="1" t="s">
        <v>20</v>
      </c>
      <c r="D402" s="1" t="s">
        <v>16</v>
      </c>
      <c r="E402" s="1" t="s">
        <v>82</v>
      </c>
      <c r="F402" s="1" t="s">
        <v>70</v>
      </c>
      <c r="G402" s="1" t="s">
        <v>148</v>
      </c>
      <c r="H402" s="1" t="s">
        <v>218</v>
      </c>
      <c r="I402" s="13"/>
      <c r="J402" s="84">
        <f>J403+J405</f>
        <v>2180379.6399999997</v>
      </c>
      <c r="K402" s="84">
        <f t="shared" ref="K402:L402" si="235">K403+K405</f>
        <v>2374816.54</v>
      </c>
      <c r="L402" s="84">
        <f t="shared" si="235"/>
        <v>2684483.21</v>
      </c>
      <c r="M402" s="84">
        <f t="shared" ref="M402:O402" si="236">M403+M405</f>
        <v>20006.48</v>
      </c>
      <c r="N402" s="84">
        <f t="shared" si="236"/>
        <v>-71289.710000000006</v>
      </c>
      <c r="O402" s="84">
        <f t="shared" si="236"/>
        <v>-296312.59999999998</v>
      </c>
      <c r="P402" s="84">
        <f t="shared" si="202"/>
        <v>2200386.1199999996</v>
      </c>
      <c r="Q402" s="84">
        <f t="shared" si="203"/>
        <v>2303526.83</v>
      </c>
      <c r="R402" s="84">
        <f t="shared" si="204"/>
        <v>2388170.61</v>
      </c>
    </row>
    <row r="403" spans="1:18" ht="38.25">
      <c r="A403" s="78" t="s">
        <v>96</v>
      </c>
      <c r="B403" s="1" t="s">
        <v>402</v>
      </c>
      <c r="C403" s="1" t="s">
        <v>20</v>
      </c>
      <c r="D403" s="1" t="s">
        <v>16</v>
      </c>
      <c r="E403" s="1" t="s">
        <v>82</v>
      </c>
      <c r="F403" s="1" t="s">
        <v>70</v>
      </c>
      <c r="G403" s="1" t="s">
        <v>148</v>
      </c>
      <c r="H403" s="1" t="s">
        <v>218</v>
      </c>
      <c r="I403" s="13" t="s">
        <v>92</v>
      </c>
      <c r="J403" s="84">
        <f>J404</f>
        <v>2040379.64</v>
      </c>
      <c r="K403" s="84">
        <f t="shared" ref="K403:O403" si="237">K404</f>
        <v>2234816.54</v>
      </c>
      <c r="L403" s="84">
        <f t="shared" si="237"/>
        <v>2544483.21</v>
      </c>
      <c r="M403" s="84">
        <f t="shared" si="237"/>
        <v>20006.48</v>
      </c>
      <c r="N403" s="84">
        <f t="shared" si="237"/>
        <v>-71289.710000000006</v>
      </c>
      <c r="O403" s="84">
        <f t="shared" si="237"/>
        <v>-296312.59999999998</v>
      </c>
      <c r="P403" s="84">
        <f t="shared" si="202"/>
        <v>2060386.1199999999</v>
      </c>
      <c r="Q403" s="84">
        <f t="shared" si="203"/>
        <v>2163526.83</v>
      </c>
      <c r="R403" s="84">
        <f t="shared" si="204"/>
        <v>2248170.61</v>
      </c>
    </row>
    <row r="404" spans="1:18">
      <c r="A404" s="78" t="s">
        <v>103</v>
      </c>
      <c r="B404" s="1" t="s">
        <v>402</v>
      </c>
      <c r="C404" s="1" t="s">
        <v>20</v>
      </c>
      <c r="D404" s="1" t="s">
        <v>16</v>
      </c>
      <c r="E404" s="1" t="s">
        <v>82</v>
      </c>
      <c r="F404" s="1" t="s">
        <v>70</v>
      </c>
      <c r="G404" s="1" t="s">
        <v>148</v>
      </c>
      <c r="H404" s="1" t="s">
        <v>218</v>
      </c>
      <c r="I404" s="13" t="s">
        <v>102</v>
      </c>
      <c r="J404" s="84">
        <f>2000379.64+40000</f>
        <v>2040379.64</v>
      </c>
      <c r="K404" s="84">
        <f>2194816.54+40000</f>
        <v>2234816.54</v>
      </c>
      <c r="L404" s="84">
        <f>2504483.21+40000</f>
        <v>2544483.21</v>
      </c>
      <c r="M404" s="84">
        <v>20006.48</v>
      </c>
      <c r="N404" s="84">
        <v>-71289.710000000006</v>
      </c>
      <c r="O404" s="84">
        <v>-296312.59999999998</v>
      </c>
      <c r="P404" s="84">
        <f t="shared" si="202"/>
        <v>2060386.1199999999</v>
      </c>
      <c r="Q404" s="84">
        <f t="shared" si="203"/>
        <v>2163526.83</v>
      </c>
      <c r="R404" s="84">
        <f t="shared" si="204"/>
        <v>2248170.61</v>
      </c>
    </row>
    <row r="405" spans="1:18" ht="25.5">
      <c r="A405" s="80" t="s">
        <v>260</v>
      </c>
      <c r="B405" s="1" t="s">
        <v>402</v>
      </c>
      <c r="C405" s="1" t="s">
        <v>20</v>
      </c>
      <c r="D405" s="1" t="s">
        <v>16</v>
      </c>
      <c r="E405" s="1" t="s">
        <v>82</v>
      </c>
      <c r="F405" s="1" t="s">
        <v>70</v>
      </c>
      <c r="G405" s="1" t="s">
        <v>148</v>
      </c>
      <c r="H405" s="1" t="s">
        <v>218</v>
      </c>
      <c r="I405" s="13" t="s">
        <v>94</v>
      </c>
      <c r="J405" s="84">
        <f>J406</f>
        <v>140000</v>
      </c>
      <c r="K405" s="84">
        <f t="shared" ref="K405:O405" si="238">K406</f>
        <v>140000</v>
      </c>
      <c r="L405" s="84">
        <f t="shared" si="238"/>
        <v>140000</v>
      </c>
      <c r="M405" s="84">
        <f t="shared" si="238"/>
        <v>0</v>
      </c>
      <c r="N405" s="84">
        <f t="shared" si="238"/>
        <v>0</v>
      </c>
      <c r="O405" s="84">
        <f t="shared" si="238"/>
        <v>0</v>
      </c>
      <c r="P405" s="84">
        <f t="shared" si="202"/>
        <v>140000</v>
      </c>
      <c r="Q405" s="84">
        <f t="shared" si="203"/>
        <v>140000</v>
      </c>
      <c r="R405" s="84">
        <f t="shared" si="204"/>
        <v>140000</v>
      </c>
    </row>
    <row r="406" spans="1:18" ht="25.5">
      <c r="A406" s="78" t="s">
        <v>98</v>
      </c>
      <c r="B406" s="1" t="s">
        <v>402</v>
      </c>
      <c r="C406" s="1" t="s">
        <v>20</v>
      </c>
      <c r="D406" s="1" t="s">
        <v>16</v>
      </c>
      <c r="E406" s="1" t="s">
        <v>82</v>
      </c>
      <c r="F406" s="1" t="s">
        <v>70</v>
      </c>
      <c r="G406" s="1" t="s">
        <v>148</v>
      </c>
      <c r="H406" s="1" t="s">
        <v>218</v>
      </c>
      <c r="I406" s="13" t="s">
        <v>95</v>
      </c>
      <c r="J406" s="84">
        <v>140000</v>
      </c>
      <c r="K406" s="84">
        <v>140000</v>
      </c>
      <c r="L406" s="84">
        <v>140000</v>
      </c>
      <c r="M406" s="84"/>
      <c r="N406" s="84"/>
      <c r="O406" s="84"/>
      <c r="P406" s="84">
        <f t="shared" si="202"/>
        <v>140000</v>
      </c>
      <c r="Q406" s="84">
        <f t="shared" si="203"/>
        <v>140000</v>
      </c>
      <c r="R406" s="84">
        <f t="shared" si="204"/>
        <v>140000</v>
      </c>
    </row>
    <row r="407" spans="1:18" ht="40.5" customHeight="1">
      <c r="A407" s="2" t="s">
        <v>233</v>
      </c>
      <c r="B407" s="1" t="s">
        <v>402</v>
      </c>
      <c r="C407" s="1" t="s">
        <v>20</v>
      </c>
      <c r="D407" s="1" t="s">
        <v>16</v>
      </c>
      <c r="E407" s="1" t="s">
        <v>82</v>
      </c>
      <c r="F407" s="1" t="s">
        <v>70</v>
      </c>
      <c r="G407" s="1" t="s">
        <v>148</v>
      </c>
      <c r="H407" s="1" t="s">
        <v>232</v>
      </c>
      <c r="I407" s="13"/>
      <c r="J407" s="84">
        <f>J408+J410</f>
        <v>1195189.8199999998</v>
      </c>
      <c r="K407" s="84">
        <f>K408+K410</f>
        <v>1292408.27</v>
      </c>
      <c r="L407" s="84">
        <f t="shared" ref="L407:O407" si="239">L408+L410</f>
        <v>1447241.6</v>
      </c>
      <c r="M407" s="84">
        <f t="shared" si="239"/>
        <v>10003.24</v>
      </c>
      <c r="N407" s="84">
        <f t="shared" si="239"/>
        <v>-35644.85</v>
      </c>
      <c r="O407" s="84">
        <f t="shared" si="239"/>
        <v>-148156.29</v>
      </c>
      <c r="P407" s="84">
        <f t="shared" si="202"/>
        <v>1205193.0599999998</v>
      </c>
      <c r="Q407" s="84">
        <f t="shared" si="203"/>
        <v>1256763.42</v>
      </c>
      <c r="R407" s="84">
        <f t="shared" si="204"/>
        <v>1299085.31</v>
      </c>
    </row>
    <row r="408" spans="1:18" ht="38.25">
      <c r="A408" s="78" t="s">
        <v>96</v>
      </c>
      <c r="B408" s="1" t="s">
        <v>402</v>
      </c>
      <c r="C408" s="1" t="s">
        <v>20</v>
      </c>
      <c r="D408" s="1" t="s">
        <v>16</v>
      </c>
      <c r="E408" s="1" t="s">
        <v>82</v>
      </c>
      <c r="F408" s="1" t="s">
        <v>70</v>
      </c>
      <c r="G408" s="1" t="s">
        <v>148</v>
      </c>
      <c r="H408" s="1" t="s">
        <v>232</v>
      </c>
      <c r="I408" s="13" t="s">
        <v>92</v>
      </c>
      <c r="J408" s="84">
        <f>J409</f>
        <v>1020189.82</v>
      </c>
      <c r="K408" s="84">
        <f t="shared" ref="K408:O408" si="240">K409</f>
        <v>1117408.27</v>
      </c>
      <c r="L408" s="84">
        <f t="shared" si="240"/>
        <v>1272241.6000000001</v>
      </c>
      <c r="M408" s="84">
        <f t="shared" si="240"/>
        <v>10003.24</v>
      </c>
      <c r="N408" s="84">
        <f t="shared" si="240"/>
        <v>-35644.85</v>
      </c>
      <c r="O408" s="84">
        <f t="shared" si="240"/>
        <v>-148156.29</v>
      </c>
      <c r="P408" s="84">
        <f t="shared" si="202"/>
        <v>1030193.0599999999</v>
      </c>
      <c r="Q408" s="84">
        <f t="shared" si="203"/>
        <v>1081763.42</v>
      </c>
      <c r="R408" s="84">
        <f t="shared" si="204"/>
        <v>1124085.31</v>
      </c>
    </row>
    <row r="409" spans="1:18">
      <c r="A409" s="78" t="s">
        <v>103</v>
      </c>
      <c r="B409" s="1" t="s">
        <v>402</v>
      </c>
      <c r="C409" s="1" t="s">
        <v>20</v>
      </c>
      <c r="D409" s="1" t="s">
        <v>16</v>
      </c>
      <c r="E409" s="1" t="s">
        <v>82</v>
      </c>
      <c r="F409" s="1" t="s">
        <v>70</v>
      </c>
      <c r="G409" s="1" t="s">
        <v>148</v>
      </c>
      <c r="H409" s="1" t="s">
        <v>232</v>
      </c>
      <c r="I409" s="13" t="s">
        <v>102</v>
      </c>
      <c r="J409" s="84">
        <f>1000189.82+20000</f>
        <v>1020189.82</v>
      </c>
      <c r="K409" s="84">
        <f>1097408.27+20000</f>
        <v>1117408.27</v>
      </c>
      <c r="L409" s="84">
        <f>1252241.6+20000</f>
        <v>1272241.6000000001</v>
      </c>
      <c r="M409" s="84">
        <v>10003.24</v>
      </c>
      <c r="N409" s="84">
        <v>-35644.85</v>
      </c>
      <c r="O409" s="84">
        <v>-148156.29</v>
      </c>
      <c r="P409" s="84">
        <f t="shared" si="202"/>
        <v>1030193.0599999999</v>
      </c>
      <c r="Q409" s="84">
        <f t="shared" si="203"/>
        <v>1081763.42</v>
      </c>
      <c r="R409" s="84">
        <f t="shared" si="204"/>
        <v>1124085.31</v>
      </c>
    </row>
    <row r="410" spans="1:18" ht="25.5">
      <c r="A410" s="80" t="s">
        <v>260</v>
      </c>
      <c r="B410" s="1" t="s">
        <v>402</v>
      </c>
      <c r="C410" s="1" t="s">
        <v>20</v>
      </c>
      <c r="D410" s="1" t="s">
        <v>16</v>
      </c>
      <c r="E410" s="1" t="s">
        <v>82</v>
      </c>
      <c r="F410" s="1" t="s">
        <v>70</v>
      </c>
      <c r="G410" s="1" t="s">
        <v>148</v>
      </c>
      <c r="H410" s="1" t="s">
        <v>232</v>
      </c>
      <c r="I410" s="13" t="s">
        <v>94</v>
      </c>
      <c r="J410" s="84">
        <f>J411</f>
        <v>175000</v>
      </c>
      <c r="K410" s="84">
        <f t="shared" ref="K410:O410" si="241">K411</f>
        <v>175000</v>
      </c>
      <c r="L410" s="84">
        <f t="shared" si="241"/>
        <v>175000</v>
      </c>
      <c r="M410" s="84">
        <f t="shared" si="241"/>
        <v>0</v>
      </c>
      <c r="N410" s="84">
        <f t="shared" si="241"/>
        <v>0</v>
      </c>
      <c r="O410" s="84">
        <f t="shared" si="241"/>
        <v>0</v>
      </c>
      <c r="P410" s="84">
        <f t="shared" si="202"/>
        <v>175000</v>
      </c>
      <c r="Q410" s="84">
        <f t="shared" si="203"/>
        <v>175000</v>
      </c>
      <c r="R410" s="84">
        <f t="shared" si="204"/>
        <v>175000</v>
      </c>
    </row>
    <row r="411" spans="1:18" ht="25.5">
      <c r="A411" s="78" t="s">
        <v>98</v>
      </c>
      <c r="B411" s="1" t="s">
        <v>402</v>
      </c>
      <c r="C411" s="1" t="s">
        <v>20</v>
      </c>
      <c r="D411" s="1" t="s">
        <v>16</v>
      </c>
      <c r="E411" s="1" t="s">
        <v>82</v>
      </c>
      <c r="F411" s="1" t="s">
        <v>70</v>
      </c>
      <c r="G411" s="1" t="s">
        <v>148</v>
      </c>
      <c r="H411" s="1" t="s">
        <v>232</v>
      </c>
      <c r="I411" s="13" t="s">
        <v>95</v>
      </c>
      <c r="J411" s="84">
        <v>175000</v>
      </c>
      <c r="K411" s="84">
        <v>175000</v>
      </c>
      <c r="L411" s="84">
        <v>175000</v>
      </c>
      <c r="M411" s="84"/>
      <c r="N411" s="84"/>
      <c r="O411" s="84"/>
      <c r="P411" s="84">
        <f t="shared" si="202"/>
        <v>175000</v>
      </c>
      <c r="Q411" s="84">
        <f t="shared" si="203"/>
        <v>175000</v>
      </c>
      <c r="R411" s="84">
        <f t="shared" si="204"/>
        <v>175000</v>
      </c>
    </row>
    <row r="412" spans="1:18">
      <c r="A412" s="11"/>
      <c r="B412" s="1"/>
      <c r="C412" s="1"/>
      <c r="D412" s="1"/>
      <c r="E412" s="1"/>
      <c r="F412" s="1"/>
      <c r="G412" s="1"/>
      <c r="H412" s="1"/>
      <c r="I412" s="13"/>
      <c r="J412" s="84"/>
      <c r="K412" s="84"/>
      <c r="L412" s="84"/>
      <c r="M412" s="84"/>
      <c r="N412" s="84"/>
      <c r="O412" s="84"/>
      <c r="P412" s="84"/>
      <c r="Q412" s="84"/>
      <c r="R412" s="84"/>
    </row>
    <row r="413" spans="1:18">
      <c r="A413" s="24" t="s">
        <v>191</v>
      </c>
      <c r="B413" s="14" t="s">
        <v>402</v>
      </c>
      <c r="C413" s="14" t="s">
        <v>20</v>
      </c>
      <c r="D413" s="14" t="s">
        <v>18</v>
      </c>
      <c r="E413" s="14"/>
      <c r="F413" s="14"/>
      <c r="G413" s="14"/>
      <c r="H413" s="14"/>
      <c r="I413" s="29"/>
      <c r="J413" s="112">
        <f t="shared" ref="J413:O416" si="242">J414</f>
        <v>2109.33</v>
      </c>
      <c r="K413" s="112">
        <f t="shared" si="242"/>
        <v>1879.4</v>
      </c>
      <c r="L413" s="112">
        <f t="shared" si="242"/>
        <v>1878.66</v>
      </c>
      <c r="M413" s="112">
        <f t="shared" si="242"/>
        <v>-1389.42</v>
      </c>
      <c r="N413" s="112">
        <f t="shared" si="242"/>
        <v>-1122.7</v>
      </c>
      <c r="O413" s="112">
        <f t="shared" si="242"/>
        <v>-1203.98</v>
      </c>
      <c r="P413" s="112">
        <f t="shared" si="202"/>
        <v>719.90999999999985</v>
      </c>
      <c r="Q413" s="112">
        <f t="shared" si="203"/>
        <v>756.7</v>
      </c>
      <c r="R413" s="112">
        <f t="shared" si="204"/>
        <v>674.68000000000006</v>
      </c>
    </row>
    <row r="414" spans="1:18">
      <c r="A414" s="2" t="s">
        <v>83</v>
      </c>
      <c r="B414" s="1" t="s">
        <v>402</v>
      </c>
      <c r="C414" s="1" t="s">
        <v>20</v>
      </c>
      <c r="D414" s="1" t="s">
        <v>18</v>
      </c>
      <c r="E414" s="1" t="s">
        <v>82</v>
      </c>
      <c r="F414" s="1" t="s">
        <v>70</v>
      </c>
      <c r="G414" s="1" t="s">
        <v>148</v>
      </c>
      <c r="H414" s="1" t="s">
        <v>149</v>
      </c>
      <c r="I414" s="13"/>
      <c r="J414" s="84">
        <f t="shared" si="242"/>
        <v>2109.33</v>
      </c>
      <c r="K414" s="84">
        <f t="shared" si="242"/>
        <v>1879.4</v>
      </c>
      <c r="L414" s="84">
        <f t="shared" si="242"/>
        <v>1878.66</v>
      </c>
      <c r="M414" s="84">
        <f t="shared" si="242"/>
        <v>-1389.42</v>
      </c>
      <c r="N414" s="84">
        <f t="shared" si="242"/>
        <v>-1122.7</v>
      </c>
      <c r="O414" s="84">
        <f t="shared" si="242"/>
        <v>-1203.98</v>
      </c>
      <c r="P414" s="84">
        <f t="shared" si="202"/>
        <v>719.90999999999985</v>
      </c>
      <c r="Q414" s="84">
        <f t="shared" si="203"/>
        <v>756.7</v>
      </c>
      <c r="R414" s="84">
        <f t="shared" si="204"/>
        <v>674.68000000000006</v>
      </c>
    </row>
    <row r="415" spans="1:18" ht="38.25">
      <c r="A415" s="11" t="s">
        <v>205</v>
      </c>
      <c r="B415" s="1" t="s">
        <v>402</v>
      </c>
      <c r="C415" s="1" t="s">
        <v>20</v>
      </c>
      <c r="D415" s="1" t="s">
        <v>18</v>
      </c>
      <c r="E415" s="1" t="s">
        <v>82</v>
      </c>
      <c r="F415" s="1" t="s">
        <v>70</v>
      </c>
      <c r="G415" s="1" t="s">
        <v>148</v>
      </c>
      <c r="H415" s="1" t="s">
        <v>204</v>
      </c>
      <c r="I415" s="13"/>
      <c r="J415" s="84">
        <f t="shared" si="242"/>
        <v>2109.33</v>
      </c>
      <c r="K415" s="84">
        <f t="shared" si="242"/>
        <v>1879.4</v>
      </c>
      <c r="L415" s="84">
        <f t="shared" si="242"/>
        <v>1878.66</v>
      </c>
      <c r="M415" s="84">
        <f t="shared" si="242"/>
        <v>-1389.42</v>
      </c>
      <c r="N415" s="84">
        <f t="shared" si="242"/>
        <v>-1122.7</v>
      </c>
      <c r="O415" s="84">
        <f t="shared" si="242"/>
        <v>-1203.98</v>
      </c>
      <c r="P415" s="84">
        <f t="shared" si="202"/>
        <v>719.90999999999985</v>
      </c>
      <c r="Q415" s="84">
        <f t="shared" si="203"/>
        <v>756.7</v>
      </c>
      <c r="R415" s="84">
        <f t="shared" si="204"/>
        <v>674.68000000000006</v>
      </c>
    </row>
    <row r="416" spans="1:18" ht="25.5">
      <c r="A416" s="80" t="s">
        <v>260</v>
      </c>
      <c r="B416" s="1" t="s">
        <v>402</v>
      </c>
      <c r="C416" s="1" t="s">
        <v>20</v>
      </c>
      <c r="D416" s="1" t="s">
        <v>18</v>
      </c>
      <c r="E416" s="1" t="s">
        <v>82</v>
      </c>
      <c r="F416" s="1" t="s">
        <v>70</v>
      </c>
      <c r="G416" s="1" t="s">
        <v>148</v>
      </c>
      <c r="H416" s="1" t="s">
        <v>204</v>
      </c>
      <c r="I416" s="13" t="s">
        <v>94</v>
      </c>
      <c r="J416" s="84">
        <f t="shared" si="242"/>
        <v>2109.33</v>
      </c>
      <c r="K416" s="84">
        <f t="shared" si="242"/>
        <v>1879.4</v>
      </c>
      <c r="L416" s="84">
        <f t="shared" si="242"/>
        <v>1878.66</v>
      </c>
      <c r="M416" s="84">
        <f t="shared" si="242"/>
        <v>-1389.42</v>
      </c>
      <c r="N416" s="84">
        <f t="shared" si="242"/>
        <v>-1122.7</v>
      </c>
      <c r="O416" s="84">
        <f t="shared" si="242"/>
        <v>-1203.98</v>
      </c>
      <c r="P416" s="84">
        <f t="shared" ref="P416:P481" si="243">J416+M416</f>
        <v>719.90999999999985</v>
      </c>
      <c r="Q416" s="84">
        <f t="shared" ref="Q416:Q481" si="244">K416+N416</f>
        <v>756.7</v>
      </c>
      <c r="R416" s="84">
        <f t="shared" ref="R416:R481" si="245">L416+O416</f>
        <v>674.68000000000006</v>
      </c>
    </row>
    <row r="417" spans="1:18" ht="25.5">
      <c r="A417" s="78" t="s">
        <v>98</v>
      </c>
      <c r="B417" s="1" t="s">
        <v>402</v>
      </c>
      <c r="C417" s="1" t="s">
        <v>20</v>
      </c>
      <c r="D417" s="1" t="s">
        <v>18</v>
      </c>
      <c r="E417" s="1" t="s">
        <v>82</v>
      </c>
      <c r="F417" s="1" t="s">
        <v>70</v>
      </c>
      <c r="G417" s="1" t="s">
        <v>148</v>
      </c>
      <c r="H417" s="1" t="s">
        <v>204</v>
      </c>
      <c r="I417" s="13" t="s">
        <v>95</v>
      </c>
      <c r="J417" s="84">
        <v>2109.33</v>
      </c>
      <c r="K417" s="84">
        <v>1879.4</v>
      </c>
      <c r="L417" s="84">
        <v>1878.66</v>
      </c>
      <c r="M417" s="84">
        <v>-1389.42</v>
      </c>
      <c r="N417" s="84">
        <v>-1122.7</v>
      </c>
      <c r="O417" s="84">
        <v>-1203.98</v>
      </c>
      <c r="P417" s="84">
        <f t="shared" si="243"/>
        <v>719.90999999999985</v>
      </c>
      <c r="Q417" s="84">
        <f t="shared" si="244"/>
        <v>756.7</v>
      </c>
      <c r="R417" s="84">
        <f t="shared" si="245"/>
        <v>674.68000000000006</v>
      </c>
    </row>
    <row r="418" spans="1:18">
      <c r="A418" s="11"/>
      <c r="B418" s="1"/>
      <c r="C418" s="1"/>
      <c r="D418" s="1"/>
      <c r="E418" s="1"/>
      <c r="F418" s="1"/>
      <c r="G418" s="1"/>
      <c r="H418" s="1"/>
      <c r="I418" s="13"/>
      <c r="J418" s="84"/>
      <c r="K418" s="84"/>
      <c r="L418" s="84"/>
      <c r="M418" s="84"/>
      <c r="N418" s="84"/>
      <c r="O418" s="84"/>
      <c r="P418" s="84"/>
      <c r="Q418" s="84"/>
      <c r="R418" s="84"/>
    </row>
    <row r="419" spans="1:18">
      <c r="A419" s="4" t="s">
        <v>1</v>
      </c>
      <c r="B419" s="14" t="s">
        <v>402</v>
      </c>
      <c r="C419" s="14" t="s">
        <v>20</v>
      </c>
      <c r="D419" s="14" t="s">
        <v>49</v>
      </c>
      <c r="E419" s="14"/>
      <c r="F419" s="14"/>
      <c r="G419" s="14"/>
      <c r="H419" s="1"/>
      <c r="I419" s="13"/>
      <c r="J419" s="112">
        <f>J424+J437+J420+J432</f>
        <v>65710818</v>
      </c>
      <c r="K419" s="112">
        <f>K424+K437+K420+K432</f>
        <v>57988823.210000001</v>
      </c>
      <c r="L419" s="112">
        <f>L424+L437+L420+L432</f>
        <v>56645119.049999997</v>
      </c>
      <c r="M419" s="112">
        <f t="shared" ref="M419:O419" si="246">M424+M437+M420+M432</f>
        <v>115000</v>
      </c>
      <c r="N419" s="112">
        <f t="shared" si="246"/>
        <v>0</v>
      </c>
      <c r="O419" s="112">
        <f t="shared" si="246"/>
        <v>0</v>
      </c>
      <c r="P419" s="112">
        <f t="shared" si="243"/>
        <v>65825818</v>
      </c>
      <c r="Q419" s="112">
        <f t="shared" si="244"/>
        <v>57988823.210000001</v>
      </c>
      <c r="R419" s="112">
        <f t="shared" si="245"/>
        <v>56645119.049999997</v>
      </c>
    </row>
    <row r="420" spans="1:18" ht="38.25">
      <c r="A420" s="2" t="s">
        <v>288</v>
      </c>
      <c r="B420" s="10" t="s">
        <v>402</v>
      </c>
      <c r="C420" s="10" t="s">
        <v>20</v>
      </c>
      <c r="D420" s="1" t="s">
        <v>49</v>
      </c>
      <c r="E420" s="1" t="s">
        <v>13</v>
      </c>
      <c r="F420" s="1" t="s">
        <v>70</v>
      </c>
      <c r="G420" s="1" t="s">
        <v>148</v>
      </c>
      <c r="H420" s="1" t="s">
        <v>149</v>
      </c>
      <c r="I420" s="13"/>
      <c r="J420" s="113">
        <f>J421</f>
        <v>900000</v>
      </c>
      <c r="K420" s="113">
        <f t="shared" ref="K420:O420" si="247">K421</f>
        <v>806400</v>
      </c>
      <c r="L420" s="113">
        <f t="shared" si="247"/>
        <v>806400</v>
      </c>
      <c r="M420" s="113">
        <f t="shared" si="247"/>
        <v>0</v>
      </c>
      <c r="N420" s="113">
        <f t="shared" si="247"/>
        <v>0</v>
      </c>
      <c r="O420" s="113">
        <f t="shared" si="247"/>
        <v>0</v>
      </c>
      <c r="P420" s="113">
        <f t="shared" si="243"/>
        <v>900000</v>
      </c>
      <c r="Q420" s="113">
        <f t="shared" si="244"/>
        <v>806400</v>
      </c>
      <c r="R420" s="113">
        <f t="shared" si="245"/>
        <v>806400</v>
      </c>
    </row>
    <row r="421" spans="1:18" ht="25.5">
      <c r="A421" s="2" t="s">
        <v>79</v>
      </c>
      <c r="B421" s="10" t="s">
        <v>402</v>
      </c>
      <c r="C421" s="1" t="s">
        <v>20</v>
      </c>
      <c r="D421" s="1" t="s">
        <v>49</v>
      </c>
      <c r="E421" s="1" t="s">
        <v>13</v>
      </c>
      <c r="F421" s="1" t="s">
        <v>70</v>
      </c>
      <c r="G421" s="1" t="s">
        <v>148</v>
      </c>
      <c r="H421" s="1" t="s">
        <v>331</v>
      </c>
      <c r="I421" s="13"/>
      <c r="J421" s="84">
        <f>SUM(J422:J422)</f>
        <v>900000</v>
      </c>
      <c r="K421" s="84">
        <f t="shared" ref="K421:O421" si="248">SUM(K422:K422)</f>
        <v>806400</v>
      </c>
      <c r="L421" s="84">
        <f t="shared" si="248"/>
        <v>806400</v>
      </c>
      <c r="M421" s="84">
        <f t="shared" si="248"/>
        <v>0</v>
      </c>
      <c r="N421" s="84">
        <f t="shared" si="248"/>
        <v>0</v>
      </c>
      <c r="O421" s="84">
        <f t="shared" si="248"/>
        <v>0</v>
      </c>
      <c r="P421" s="84">
        <f t="shared" si="243"/>
        <v>900000</v>
      </c>
      <c r="Q421" s="84">
        <f t="shared" si="244"/>
        <v>806400</v>
      </c>
      <c r="R421" s="84">
        <f t="shared" si="245"/>
        <v>806400</v>
      </c>
    </row>
    <row r="422" spans="1:18">
      <c r="A422" s="81" t="s">
        <v>80</v>
      </c>
      <c r="B422" s="10" t="s">
        <v>402</v>
      </c>
      <c r="C422" s="1" t="s">
        <v>20</v>
      </c>
      <c r="D422" s="1" t="s">
        <v>49</v>
      </c>
      <c r="E422" s="1" t="s">
        <v>13</v>
      </c>
      <c r="F422" s="1" t="s">
        <v>70</v>
      </c>
      <c r="G422" s="1" t="s">
        <v>148</v>
      </c>
      <c r="H422" s="1" t="s">
        <v>331</v>
      </c>
      <c r="I422" s="13" t="s">
        <v>77</v>
      </c>
      <c r="J422" s="84">
        <f>J423</f>
        <v>900000</v>
      </c>
      <c r="K422" s="84">
        <f t="shared" ref="K422:O422" si="249">K423</f>
        <v>806400</v>
      </c>
      <c r="L422" s="84">
        <f t="shared" si="249"/>
        <v>806400</v>
      </c>
      <c r="M422" s="84">
        <f t="shared" si="249"/>
        <v>0</v>
      </c>
      <c r="N422" s="84">
        <f t="shared" si="249"/>
        <v>0</v>
      </c>
      <c r="O422" s="84">
        <f t="shared" si="249"/>
        <v>0</v>
      </c>
      <c r="P422" s="84">
        <f t="shared" si="243"/>
        <v>900000</v>
      </c>
      <c r="Q422" s="84">
        <f t="shared" si="244"/>
        <v>806400</v>
      </c>
      <c r="R422" s="84">
        <f t="shared" si="245"/>
        <v>806400</v>
      </c>
    </row>
    <row r="423" spans="1:18" ht="25.5">
      <c r="A423" s="127" t="s">
        <v>81</v>
      </c>
      <c r="B423" s="10" t="s">
        <v>402</v>
      </c>
      <c r="C423" s="1" t="s">
        <v>20</v>
      </c>
      <c r="D423" s="1" t="s">
        <v>49</v>
      </c>
      <c r="E423" s="1" t="s">
        <v>13</v>
      </c>
      <c r="F423" s="1" t="s">
        <v>70</v>
      </c>
      <c r="G423" s="1" t="s">
        <v>148</v>
      </c>
      <c r="H423" s="1" t="s">
        <v>331</v>
      </c>
      <c r="I423" s="13" t="s">
        <v>78</v>
      </c>
      <c r="J423" s="84">
        <f>702000+198000</f>
        <v>900000</v>
      </c>
      <c r="K423" s="84">
        <f>630000+176400</f>
        <v>806400</v>
      </c>
      <c r="L423" s="84">
        <f>630000+176400</f>
        <v>806400</v>
      </c>
      <c r="M423" s="84"/>
      <c r="N423" s="84"/>
      <c r="O423" s="84"/>
      <c r="P423" s="84">
        <f t="shared" si="243"/>
        <v>900000</v>
      </c>
      <c r="Q423" s="84">
        <f t="shared" si="244"/>
        <v>806400</v>
      </c>
      <c r="R423" s="84">
        <f t="shared" si="245"/>
        <v>806400</v>
      </c>
    </row>
    <row r="424" spans="1:18" ht="38.25">
      <c r="A424" s="2" t="s">
        <v>289</v>
      </c>
      <c r="B424" s="10" t="s">
        <v>402</v>
      </c>
      <c r="C424" s="10" t="s">
        <v>20</v>
      </c>
      <c r="D424" s="10" t="s">
        <v>49</v>
      </c>
      <c r="E424" s="10" t="s">
        <v>27</v>
      </c>
      <c r="F424" s="10" t="s">
        <v>70</v>
      </c>
      <c r="G424" s="10" t="s">
        <v>148</v>
      </c>
      <c r="H424" s="1" t="s">
        <v>149</v>
      </c>
      <c r="I424" s="13"/>
      <c r="J424" s="113">
        <f t="shared" ref="J424:O427" si="250">J425</f>
        <v>2146000</v>
      </c>
      <c r="K424" s="113">
        <f t="shared" si="250"/>
        <v>1500000</v>
      </c>
      <c r="L424" s="113">
        <f t="shared" si="250"/>
        <v>0</v>
      </c>
      <c r="M424" s="113">
        <f t="shared" si="250"/>
        <v>0</v>
      </c>
      <c r="N424" s="113">
        <f t="shared" si="250"/>
        <v>0</v>
      </c>
      <c r="O424" s="113">
        <f t="shared" si="250"/>
        <v>0</v>
      </c>
      <c r="P424" s="113">
        <f t="shared" si="243"/>
        <v>2146000</v>
      </c>
      <c r="Q424" s="113">
        <f t="shared" si="244"/>
        <v>1500000</v>
      </c>
      <c r="R424" s="113">
        <f t="shared" si="245"/>
        <v>0</v>
      </c>
    </row>
    <row r="425" spans="1:18">
      <c r="A425" s="2" t="s">
        <v>211</v>
      </c>
      <c r="B425" s="10" t="s">
        <v>402</v>
      </c>
      <c r="C425" s="10" t="s">
        <v>20</v>
      </c>
      <c r="D425" s="10" t="s">
        <v>49</v>
      </c>
      <c r="E425" s="10" t="s">
        <v>27</v>
      </c>
      <c r="F425" s="10" t="s">
        <v>44</v>
      </c>
      <c r="G425" s="10" t="s">
        <v>148</v>
      </c>
      <c r="H425" s="1" t="s">
        <v>149</v>
      </c>
      <c r="I425" s="13"/>
      <c r="J425" s="113">
        <f>J426+J429</f>
        <v>2146000</v>
      </c>
      <c r="K425" s="113">
        <f t="shared" ref="K425:L425" si="251">K426+K429</f>
        <v>1500000</v>
      </c>
      <c r="L425" s="113">
        <f t="shared" si="251"/>
        <v>0</v>
      </c>
      <c r="M425" s="113">
        <f t="shared" ref="M425:O425" si="252">M426+M429</f>
        <v>0</v>
      </c>
      <c r="N425" s="113">
        <f t="shared" si="252"/>
        <v>0</v>
      </c>
      <c r="O425" s="113">
        <f t="shared" si="252"/>
        <v>0</v>
      </c>
      <c r="P425" s="113">
        <f t="shared" si="243"/>
        <v>2146000</v>
      </c>
      <c r="Q425" s="113">
        <f t="shared" si="244"/>
        <v>1500000</v>
      </c>
      <c r="R425" s="113">
        <f t="shared" si="245"/>
        <v>0</v>
      </c>
    </row>
    <row r="426" spans="1:18" ht="25.5">
      <c r="A426" s="2" t="s">
        <v>212</v>
      </c>
      <c r="B426" s="10" t="s">
        <v>402</v>
      </c>
      <c r="C426" s="10" t="s">
        <v>20</v>
      </c>
      <c r="D426" s="10" t="s">
        <v>49</v>
      </c>
      <c r="E426" s="10" t="s">
        <v>27</v>
      </c>
      <c r="F426" s="10" t="s">
        <v>44</v>
      </c>
      <c r="G426" s="10" t="s">
        <v>148</v>
      </c>
      <c r="H426" s="1" t="s">
        <v>213</v>
      </c>
      <c r="I426" s="13"/>
      <c r="J426" s="113">
        <f t="shared" si="250"/>
        <v>1500000</v>
      </c>
      <c r="K426" s="113">
        <f t="shared" si="250"/>
        <v>1500000</v>
      </c>
      <c r="L426" s="113">
        <f t="shared" si="250"/>
        <v>0</v>
      </c>
      <c r="M426" s="113">
        <f t="shared" si="250"/>
        <v>0</v>
      </c>
      <c r="N426" s="113">
        <f t="shared" si="250"/>
        <v>0</v>
      </c>
      <c r="O426" s="113">
        <f t="shared" si="250"/>
        <v>0</v>
      </c>
      <c r="P426" s="113">
        <f t="shared" si="243"/>
        <v>1500000</v>
      </c>
      <c r="Q426" s="113">
        <f t="shared" si="244"/>
        <v>1500000</v>
      </c>
      <c r="R426" s="113">
        <f t="shared" si="245"/>
        <v>0</v>
      </c>
    </row>
    <row r="427" spans="1:18" ht="25.5">
      <c r="A427" s="80" t="s">
        <v>260</v>
      </c>
      <c r="B427" s="10" t="s">
        <v>402</v>
      </c>
      <c r="C427" s="10" t="s">
        <v>20</v>
      </c>
      <c r="D427" s="10" t="s">
        <v>49</v>
      </c>
      <c r="E427" s="10" t="s">
        <v>27</v>
      </c>
      <c r="F427" s="10" t="s">
        <v>44</v>
      </c>
      <c r="G427" s="10" t="s">
        <v>148</v>
      </c>
      <c r="H427" s="1" t="s">
        <v>213</v>
      </c>
      <c r="I427" s="13" t="s">
        <v>94</v>
      </c>
      <c r="J427" s="113">
        <f t="shared" si="250"/>
        <v>1500000</v>
      </c>
      <c r="K427" s="113">
        <f t="shared" si="250"/>
        <v>1500000</v>
      </c>
      <c r="L427" s="113">
        <f t="shared" si="250"/>
        <v>0</v>
      </c>
      <c r="M427" s="113">
        <f t="shared" si="250"/>
        <v>0</v>
      </c>
      <c r="N427" s="113">
        <f t="shared" si="250"/>
        <v>0</v>
      </c>
      <c r="O427" s="113">
        <f t="shared" si="250"/>
        <v>0</v>
      </c>
      <c r="P427" s="113">
        <f t="shared" si="243"/>
        <v>1500000</v>
      </c>
      <c r="Q427" s="113">
        <f t="shared" si="244"/>
        <v>1500000</v>
      </c>
      <c r="R427" s="113">
        <f t="shared" si="245"/>
        <v>0</v>
      </c>
    </row>
    <row r="428" spans="1:18" ht="25.5">
      <c r="A428" s="78" t="s">
        <v>98</v>
      </c>
      <c r="B428" s="10" t="s">
        <v>402</v>
      </c>
      <c r="C428" s="10" t="s">
        <v>20</v>
      </c>
      <c r="D428" s="10" t="s">
        <v>49</v>
      </c>
      <c r="E428" s="10" t="s">
        <v>27</v>
      </c>
      <c r="F428" s="10" t="s">
        <v>44</v>
      </c>
      <c r="G428" s="10" t="s">
        <v>148</v>
      </c>
      <c r="H428" s="1" t="s">
        <v>213</v>
      </c>
      <c r="I428" s="13" t="s">
        <v>95</v>
      </c>
      <c r="J428" s="113">
        <v>1500000</v>
      </c>
      <c r="K428" s="113">
        <v>1500000</v>
      </c>
      <c r="L428" s="113"/>
      <c r="M428" s="113"/>
      <c r="N428" s="113"/>
      <c r="O428" s="113"/>
      <c r="P428" s="113">
        <f t="shared" si="243"/>
        <v>1500000</v>
      </c>
      <c r="Q428" s="113">
        <f t="shared" si="244"/>
        <v>1500000</v>
      </c>
      <c r="R428" s="113">
        <f t="shared" si="245"/>
        <v>0</v>
      </c>
    </row>
    <row r="429" spans="1:18" ht="25.5">
      <c r="A429" s="7" t="s">
        <v>312</v>
      </c>
      <c r="B429" s="10" t="s">
        <v>402</v>
      </c>
      <c r="C429" s="10" t="s">
        <v>20</v>
      </c>
      <c r="D429" s="10" t="s">
        <v>49</v>
      </c>
      <c r="E429" s="10" t="s">
        <v>27</v>
      </c>
      <c r="F429" s="10" t="s">
        <v>44</v>
      </c>
      <c r="G429" s="10" t="s">
        <v>148</v>
      </c>
      <c r="H429" s="1" t="s">
        <v>311</v>
      </c>
      <c r="I429" s="13"/>
      <c r="J429" s="113">
        <f>J430</f>
        <v>646000</v>
      </c>
      <c r="K429" s="113">
        <f t="shared" ref="K429:O430" si="253">K430</f>
        <v>0</v>
      </c>
      <c r="L429" s="113">
        <f t="shared" si="253"/>
        <v>0</v>
      </c>
      <c r="M429" s="113">
        <f t="shared" si="253"/>
        <v>0</v>
      </c>
      <c r="N429" s="113">
        <f t="shared" si="253"/>
        <v>0</v>
      </c>
      <c r="O429" s="113">
        <f t="shared" si="253"/>
        <v>0</v>
      </c>
      <c r="P429" s="113">
        <f t="shared" si="243"/>
        <v>646000</v>
      </c>
      <c r="Q429" s="113">
        <f t="shared" si="244"/>
        <v>0</v>
      </c>
      <c r="R429" s="113">
        <f t="shared" si="245"/>
        <v>0</v>
      </c>
    </row>
    <row r="430" spans="1:18" ht="25.5">
      <c r="A430" s="80" t="s">
        <v>260</v>
      </c>
      <c r="B430" s="10" t="s">
        <v>402</v>
      </c>
      <c r="C430" s="10" t="s">
        <v>20</v>
      </c>
      <c r="D430" s="10" t="s">
        <v>49</v>
      </c>
      <c r="E430" s="10" t="s">
        <v>27</v>
      </c>
      <c r="F430" s="10" t="s">
        <v>44</v>
      </c>
      <c r="G430" s="10" t="s">
        <v>148</v>
      </c>
      <c r="H430" s="1" t="s">
        <v>311</v>
      </c>
      <c r="I430" s="13" t="s">
        <v>94</v>
      </c>
      <c r="J430" s="113">
        <f>J431</f>
        <v>646000</v>
      </c>
      <c r="K430" s="113">
        <f t="shared" si="253"/>
        <v>0</v>
      </c>
      <c r="L430" s="113">
        <f t="shared" si="253"/>
        <v>0</v>
      </c>
      <c r="M430" s="113">
        <f t="shared" si="253"/>
        <v>0</v>
      </c>
      <c r="N430" s="113">
        <f t="shared" si="253"/>
        <v>0</v>
      </c>
      <c r="O430" s="113">
        <f t="shared" si="253"/>
        <v>0</v>
      </c>
      <c r="P430" s="113">
        <f t="shared" si="243"/>
        <v>646000</v>
      </c>
      <c r="Q430" s="113">
        <f t="shared" si="244"/>
        <v>0</v>
      </c>
      <c r="R430" s="113">
        <f t="shared" si="245"/>
        <v>0</v>
      </c>
    </row>
    <row r="431" spans="1:18" ht="25.5">
      <c r="A431" s="78" t="s">
        <v>98</v>
      </c>
      <c r="B431" s="10" t="s">
        <v>402</v>
      </c>
      <c r="C431" s="10" t="s">
        <v>20</v>
      </c>
      <c r="D431" s="10" t="s">
        <v>49</v>
      </c>
      <c r="E431" s="10" t="s">
        <v>27</v>
      </c>
      <c r="F431" s="10" t="s">
        <v>44</v>
      </c>
      <c r="G431" s="10" t="s">
        <v>148</v>
      </c>
      <c r="H431" s="1" t="s">
        <v>311</v>
      </c>
      <c r="I431" s="13" t="s">
        <v>95</v>
      </c>
      <c r="J431" s="113">
        <v>646000</v>
      </c>
      <c r="K431" s="113"/>
      <c r="L431" s="113"/>
      <c r="M431" s="113"/>
      <c r="N431" s="113"/>
      <c r="O431" s="113"/>
      <c r="P431" s="113">
        <f t="shared" si="243"/>
        <v>646000</v>
      </c>
      <c r="Q431" s="113">
        <f t="shared" si="244"/>
        <v>0</v>
      </c>
      <c r="R431" s="113">
        <f t="shared" si="245"/>
        <v>0</v>
      </c>
    </row>
    <row r="432" spans="1:18" ht="38.25">
      <c r="A432" s="83" t="s">
        <v>294</v>
      </c>
      <c r="B432" s="3" t="s">
        <v>402</v>
      </c>
      <c r="C432" s="3" t="s">
        <v>20</v>
      </c>
      <c r="D432" s="3" t="s">
        <v>49</v>
      </c>
      <c r="E432" s="1" t="s">
        <v>19</v>
      </c>
      <c r="F432" s="1" t="s">
        <v>70</v>
      </c>
      <c r="G432" s="1" t="s">
        <v>148</v>
      </c>
      <c r="H432" s="3" t="s">
        <v>149</v>
      </c>
      <c r="I432" s="16"/>
      <c r="J432" s="84">
        <f>J433</f>
        <v>5574000</v>
      </c>
      <c r="K432" s="84">
        <f t="shared" ref="K432:O433" si="254">K433</f>
        <v>0</v>
      </c>
      <c r="L432" s="84">
        <f t="shared" si="254"/>
        <v>0</v>
      </c>
      <c r="M432" s="84">
        <f t="shared" si="254"/>
        <v>0</v>
      </c>
      <c r="N432" s="84">
        <f t="shared" si="254"/>
        <v>0</v>
      </c>
      <c r="O432" s="84">
        <f t="shared" si="254"/>
        <v>0</v>
      </c>
      <c r="P432" s="84">
        <f t="shared" si="243"/>
        <v>5574000</v>
      </c>
      <c r="Q432" s="84">
        <f t="shared" si="244"/>
        <v>0</v>
      </c>
      <c r="R432" s="84">
        <f t="shared" si="245"/>
        <v>0</v>
      </c>
    </row>
    <row r="433" spans="1:18" ht="25.5">
      <c r="A433" s="83" t="s">
        <v>296</v>
      </c>
      <c r="B433" s="3" t="s">
        <v>402</v>
      </c>
      <c r="C433" s="3" t="s">
        <v>20</v>
      </c>
      <c r="D433" s="3" t="s">
        <v>49</v>
      </c>
      <c r="E433" s="1" t="s">
        <v>19</v>
      </c>
      <c r="F433" s="1" t="s">
        <v>127</v>
      </c>
      <c r="G433" s="1" t="s">
        <v>148</v>
      </c>
      <c r="H433" s="3" t="s">
        <v>149</v>
      </c>
      <c r="I433" s="16"/>
      <c r="J433" s="84">
        <f>J434</f>
        <v>5574000</v>
      </c>
      <c r="K433" s="84">
        <f t="shared" si="254"/>
        <v>0</v>
      </c>
      <c r="L433" s="84">
        <f t="shared" si="254"/>
        <v>0</v>
      </c>
      <c r="M433" s="84">
        <f t="shared" si="254"/>
        <v>0</v>
      </c>
      <c r="N433" s="84">
        <f t="shared" si="254"/>
        <v>0</v>
      </c>
      <c r="O433" s="84">
        <f t="shared" si="254"/>
        <v>0</v>
      </c>
      <c r="P433" s="84">
        <f t="shared" si="243"/>
        <v>5574000</v>
      </c>
      <c r="Q433" s="84">
        <f t="shared" si="244"/>
        <v>0</v>
      </c>
      <c r="R433" s="84">
        <f t="shared" si="245"/>
        <v>0</v>
      </c>
    </row>
    <row r="434" spans="1:18" ht="51">
      <c r="A434" s="83" t="s">
        <v>299</v>
      </c>
      <c r="B434" s="3" t="s">
        <v>402</v>
      </c>
      <c r="C434" s="3" t="s">
        <v>20</v>
      </c>
      <c r="D434" s="3" t="s">
        <v>49</v>
      </c>
      <c r="E434" s="1" t="s">
        <v>19</v>
      </c>
      <c r="F434" s="1" t="s">
        <v>127</v>
      </c>
      <c r="G434" s="1" t="s">
        <v>148</v>
      </c>
      <c r="H434" s="3" t="s">
        <v>298</v>
      </c>
      <c r="I434" s="16"/>
      <c r="J434" s="84">
        <f>J435</f>
        <v>5574000</v>
      </c>
      <c r="K434" s="84">
        <f t="shared" ref="K434:O435" si="255">K435</f>
        <v>0</v>
      </c>
      <c r="L434" s="84">
        <f t="shared" si="255"/>
        <v>0</v>
      </c>
      <c r="M434" s="84">
        <f t="shared" si="255"/>
        <v>0</v>
      </c>
      <c r="N434" s="84">
        <f t="shared" si="255"/>
        <v>0</v>
      </c>
      <c r="O434" s="84">
        <f t="shared" si="255"/>
        <v>0</v>
      </c>
      <c r="P434" s="84">
        <f t="shared" si="243"/>
        <v>5574000</v>
      </c>
      <c r="Q434" s="84">
        <f t="shared" si="244"/>
        <v>0</v>
      </c>
      <c r="R434" s="84">
        <f t="shared" si="245"/>
        <v>0</v>
      </c>
    </row>
    <row r="435" spans="1:18">
      <c r="A435" s="9" t="s">
        <v>100</v>
      </c>
      <c r="B435" s="3" t="s">
        <v>402</v>
      </c>
      <c r="C435" s="3" t="s">
        <v>20</v>
      </c>
      <c r="D435" s="3" t="s">
        <v>49</v>
      </c>
      <c r="E435" s="1" t="s">
        <v>19</v>
      </c>
      <c r="F435" s="1" t="s">
        <v>127</v>
      </c>
      <c r="G435" s="1" t="s">
        <v>148</v>
      </c>
      <c r="H435" s="3" t="s">
        <v>298</v>
      </c>
      <c r="I435" s="16" t="s">
        <v>99</v>
      </c>
      <c r="J435" s="84">
        <f>J436</f>
        <v>5574000</v>
      </c>
      <c r="K435" s="84">
        <f t="shared" si="255"/>
        <v>0</v>
      </c>
      <c r="L435" s="84">
        <f t="shared" si="255"/>
        <v>0</v>
      </c>
      <c r="M435" s="84">
        <f t="shared" si="255"/>
        <v>0</v>
      </c>
      <c r="N435" s="84">
        <f t="shared" si="255"/>
        <v>0</v>
      </c>
      <c r="O435" s="84">
        <f t="shared" si="255"/>
        <v>0</v>
      </c>
      <c r="P435" s="84">
        <f t="shared" si="243"/>
        <v>5574000</v>
      </c>
      <c r="Q435" s="84">
        <f t="shared" si="244"/>
        <v>0</v>
      </c>
      <c r="R435" s="84">
        <f t="shared" si="245"/>
        <v>0</v>
      </c>
    </row>
    <row r="436" spans="1:18" ht="25.5">
      <c r="A436" s="9" t="s">
        <v>106</v>
      </c>
      <c r="B436" s="3" t="s">
        <v>402</v>
      </c>
      <c r="C436" s="3" t="s">
        <v>20</v>
      </c>
      <c r="D436" s="3" t="s">
        <v>49</v>
      </c>
      <c r="E436" s="1" t="s">
        <v>19</v>
      </c>
      <c r="F436" s="1" t="s">
        <v>127</v>
      </c>
      <c r="G436" s="1" t="s">
        <v>148</v>
      </c>
      <c r="H436" s="3" t="s">
        <v>298</v>
      </c>
      <c r="I436" s="16" t="s">
        <v>107</v>
      </c>
      <c r="J436" s="84">
        <v>5574000</v>
      </c>
      <c r="K436" s="84"/>
      <c r="L436" s="84"/>
      <c r="M436" s="84"/>
      <c r="N436" s="84"/>
      <c r="O436" s="84"/>
      <c r="P436" s="84">
        <f t="shared" si="243"/>
        <v>5574000</v>
      </c>
      <c r="Q436" s="84">
        <f t="shared" si="244"/>
        <v>0</v>
      </c>
      <c r="R436" s="84">
        <f t="shared" si="245"/>
        <v>0</v>
      </c>
    </row>
    <row r="437" spans="1:18">
      <c r="A437" s="2" t="s">
        <v>83</v>
      </c>
      <c r="B437" s="1" t="s">
        <v>402</v>
      </c>
      <c r="C437" s="1" t="s">
        <v>20</v>
      </c>
      <c r="D437" s="1" t="s">
        <v>49</v>
      </c>
      <c r="E437" s="1" t="s">
        <v>82</v>
      </c>
      <c r="F437" s="1" t="s">
        <v>70</v>
      </c>
      <c r="G437" s="1" t="s">
        <v>148</v>
      </c>
      <c r="H437" s="1" t="s">
        <v>149</v>
      </c>
      <c r="I437" s="13"/>
      <c r="J437" s="84">
        <f>+J438+J448+J445</f>
        <v>57090818</v>
      </c>
      <c r="K437" s="84">
        <f t="shared" ref="K437:O437" si="256">+K438+K448+K445</f>
        <v>55682423.210000001</v>
      </c>
      <c r="L437" s="84">
        <f t="shared" si="256"/>
        <v>55838719.049999997</v>
      </c>
      <c r="M437" s="84">
        <f t="shared" si="256"/>
        <v>115000</v>
      </c>
      <c r="N437" s="84">
        <f t="shared" si="256"/>
        <v>0</v>
      </c>
      <c r="O437" s="84">
        <f t="shared" si="256"/>
        <v>0</v>
      </c>
      <c r="P437" s="84">
        <f t="shared" si="243"/>
        <v>57205818</v>
      </c>
      <c r="Q437" s="84">
        <f t="shared" si="244"/>
        <v>55682423.210000001</v>
      </c>
      <c r="R437" s="84">
        <f t="shared" si="245"/>
        <v>55838719.049999997</v>
      </c>
    </row>
    <row r="438" spans="1:18">
      <c r="A438" s="2" t="s">
        <v>91</v>
      </c>
      <c r="B438" s="3" t="s">
        <v>402</v>
      </c>
      <c r="C438" s="3" t="s">
        <v>20</v>
      </c>
      <c r="D438" s="3" t="s">
        <v>49</v>
      </c>
      <c r="E438" s="1" t="s">
        <v>82</v>
      </c>
      <c r="F438" s="1" t="s">
        <v>70</v>
      </c>
      <c r="G438" s="1" t="s">
        <v>148</v>
      </c>
      <c r="H438" s="3" t="s">
        <v>177</v>
      </c>
      <c r="I438" s="16"/>
      <c r="J438" s="84">
        <f>J439+J441+J443</f>
        <v>54938418</v>
      </c>
      <c r="K438" s="84">
        <f t="shared" ref="K438:L438" si="257">K439+K441+K443</f>
        <v>55682423.210000001</v>
      </c>
      <c r="L438" s="84">
        <f t="shared" si="257"/>
        <v>55838719.049999997</v>
      </c>
      <c r="M438" s="84">
        <f t="shared" ref="M438:O438" si="258">M439+M441+M443</f>
        <v>0</v>
      </c>
      <c r="N438" s="84">
        <f t="shared" si="258"/>
        <v>0</v>
      </c>
      <c r="O438" s="84">
        <f t="shared" si="258"/>
        <v>0</v>
      </c>
      <c r="P438" s="84">
        <f t="shared" si="243"/>
        <v>54938418</v>
      </c>
      <c r="Q438" s="84">
        <f t="shared" si="244"/>
        <v>55682423.210000001</v>
      </c>
      <c r="R438" s="84">
        <f t="shared" si="245"/>
        <v>55838719.049999997</v>
      </c>
    </row>
    <row r="439" spans="1:18" ht="38.25">
      <c r="A439" s="78" t="s">
        <v>96</v>
      </c>
      <c r="B439" s="3" t="s">
        <v>402</v>
      </c>
      <c r="C439" s="3" t="s">
        <v>20</v>
      </c>
      <c r="D439" s="3" t="s">
        <v>49</v>
      </c>
      <c r="E439" s="1" t="s">
        <v>82</v>
      </c>
      <c r="F439" s="1" t="s">
        <v>70</v>
      </c>
      <c r="G439" s="1" t="s">
        <v>148</v>
      </c>
      <c r="H439" s="3" t="s">
        <v>177</v>
      </c>
      <c r="I439" s="16" t="s">
        <v>92</v>
      </c>
      <c r="J439" s="84">
        <f>J440</f>
        <v>44628700</v>
      </c>
      <c r="K439" s="84">
        <f t="shared" ref="K439:O439" si="259">K440</f>
        <v>45076036.490000002</v>
      </c>
      <c r="L439" s="84">
        <f t="shared" si="259"/>
        <v>45423796.859999999</v>
      </c>
      <c r="M439" s="84">
        <f t="shared" si="259"/>
        <v>0</v>
      </c>
      <c r="N439" s="84">
        <f t="shared" si="259"/>
        <v>0</v>
      </c>
      <c r="O439" s="84">
        <f t="shared" si="259"/>
        <v>0</v>
      </c>
      <c r="P439" s="84">
        <f t="shared" si="243"/>
        <v>44628700</v>
      </c>
      <c r="Q439" s="84">
        <f t="shared" si="244"/>
        <v>45076036.490000002</v>
      </c>
      <c r="R439" s="84">
        <f t="shared" si="245"/>
        <v>45423796.859999999</v>
      </c>
    </row>
    <row r="440" spans="1:18">
      <c r="A440" s="78" t="s">
        <v>97</v>
      </c>
      <c r="B440" s="3" t="s">
        <v>402</v>
      </c>
      <c r="C440" s="3" t="s">
        <v>20</v>
      </c>
      <c r="D440" s="3" t="s">
        <v>49</v>
      </c>
      <c r="E440" s="1" t="s">
        <v>82</v>
      </c>
      <c r="F440" s="1" t="s">
        <v>70</v>
      </c>
      <c r="G440" s="1" t="s">
        <v>148</v>
      </c>
      <c r="H440" s="3" t="s">
        <v>177</v>
      </c>
      <c r="I440" s="16" t="s">
        <v>93</v>
      </c>
      <c r="J440" s="84">
        <v>44628700</v>
      </c>
      <c r="K440" s="84">
        <v>45076036.490000002</v>
      </c>
      <c r="L440" s="84">
        <v>45423796.859999999</v>
      </c>
      <c r="M440" s="84"/>
      <c r="N440" s="84"/>
      <c r="O440" s="84"/>
      <c r="P440" s="84">
        <f t="shared" si="243"/>
        <v>44628700</v>
      </c>
      <c r="Q440" s="84">
        <f t="shared" si="244"/>
        <v>45076036.490000002</v>
      </c>
      <c r="R440" s="84">
        <f t="shared" si="245"/>
        <v>45423796.859999999</v>
      </c>
    </row>
    <row r="441" spans="1:18" ht="25.5">
      <c r="A441" s="80" t="s">
        <v>260</v>
      </c>
      <c r="B441" s="3" t="s">
        <v>402</v>
      </c>
      <c r="C441" s="3" t="s">
        <v>20</v>
      </c>
      <c r="D441" s="3" t="s">
        <v>49</v>
      </c>
      <c r="E441" s="1" t="s">
        <v>82</v>
      </c>
      <c r="F441" s="1" t="s">
        <v>70</v>
      </c>
      <c r="G441" s="1" t="s">
        <v>148</v>
      </c>
      <c r="H441" s="3" t="s">
        <v>177</v>
      </c>
      <c r="I441" s="16" t="s">
        <v>94</v>
      </c>
      <c r="J441" s="84">
        <f>J442</f>
        <v>10274718</v>
      </c>
      <c r="K441" s="84">
        <f t="shared" ref="K441:O441" si="260">K442</f>
        <v>10571386.720000001</v>
      </c>
      <c r="L441" s="84">
        <f t="shared" si="260"/>
        <v>10379922.189999999</v>
      </c>
      <c r="M441" s="84">
        <f t="shared" si="260"/>
        <v>0</v>
      </c>
      <c r="N441" s="84">
        <f t="shared" si="260"/>
        <v>0</v>
      </c>
      <c r="O441" s="84">
        <f t="shared" si="260"/>
        <v>0</v>
      </c>
      <c r="P441" s="84">
        <f t="shared" si="243"/>
        <v>10274718</v>
      </c>
      <c r="Q441" s="84">
        <f t="shared" si="244"/>
        <v>10571386.720000001</v>
      </c>
      <c r="R441" s="84">
        <f t="shared" si="245"/>
        <v>10379922.189999999</v>
      </c>
    </row>
    <row r="442" spans="1:18" ht="25.5">
      <c r="A442" s="78" t="s">
        <v>98</v>
      </c>
      <c r="B442" s="3" t="s">
        <v>402</v>
      </c>
      <c r="C442" s="3" t="s">
        <v>20</v>
      </c>
      <c r="D442" s="3" t="s">
        <v>49</v>
      </c>
      <c r="E442" s="1" t="s">
        <v>82</v>
      </c>
      <c r="F442" s="1" t="s">
        <v>70</v>
      </c>
      <c r="G442" s="1" t="s">
        <v>148</v>
      </c>
      <c r="H442" s="3" t="s">
        <v>177</v>
      </c>
      <c r="I442" s="16" t="s">
        <v>95</v>
      </c>
      <c r="J442" s="84">
        <v>10274718</v>
      </c>
      <c r="K442" s="84">
        <v>10571386.720000001</v>
      </c>
      <c r="L442" s="84">
        <v>10379922.189999999</v>
      </c>
      <c r="M442" s="84"/>
      <c r="N442" s="84"/>
      <c r="O442" s="84"/>
      <c r="P442" s="84">
        <f t="shared" si="243"/>
        <v>10274718</v>
      </c>
      <c r="Q442" s="84">
        <f t="shared" si="244"/>
        <v>10571386.720000001</v>
      </c>
      <c r="R442" s="84">
        <f t="shared" si="245"/>
        <v>10379922.189999999</v>
      </c>
    </row>
    <row r="443" spans="1:18">
      <c r="A443" s="78" t="s">
        <v>80</v>
      </c>
      <c r="B443" s="3" t="s">
        <v>402</v>
      </c>
      <c r="C443" s="3" t="s">
        <v>20</v>
      </c>
      <c r="D443" s="3" t="s">
        <v>49</v>
      </c>
      <c r="E443" s="1" t="s">
        <v>82</v>
      </c>
      <c r="F443" s="1" t="s">
        <v>70</v>
      </c>
      <c r="G443" s="1" t="s">
        <v>148</v>
      </c>
      <c r="H443" s="3" t="s">
        <v>177</v>
      </c>
      <c r="I443" s="16" t="s">
        <v>77</v>
      </c>
      <c r="J443" s="84">
        <f>J444</f>
        <v>35000</v>
      </c>
      <c r="K443" s="84">
        <f t="shared" ref="K443:O443" si="261">K444</f>
        <v>35000</v>
      </c>
      <c r="L443" s="84">
        <f t="shared" si="261"/>
        <v>35000</v>
      </c>
      <c r="M443" s="84">
        <f t="shared" si="261"/>
        <v>0</v>
      </c>
      <c r="N443" s="84">
        <f t="shared" si="261"/>
        <v>0</v>
      </c>
      <c r="O443" s="84">
        <f t="shared" si="261"/>
        <v>0</v>
      </c>
      <c r="P443" s="84">
        <f t="shared" si="243"/>
        <v>35000</v>
      </c>
      <c r="Q443" s="84">
        <f t="shared" si="244"/>
        <v>35000</v>
      </c>
      <c r="R443" s="84">
        <f t="shared" si="245"/>
        <v>35000</v>
      </c>
    </row>
    <row r="444" spans="1:18">
      <c r="A444" s="83" t="s">
        <v>125</v>
      </c>
      <c r="B444" s="3" t="s">
        <v>402</v>
      </c>
      <c r="C444" s="3" t="s">
        <v>20</v>
      </c>
      <c r="D444" s="3" t="s">
        <v>49</v>
      </c>
      <c r="E444" s="1" t="s">
        <v>82</v>
      </c>
      <c r="F444" s="1" t="s">
        <v>70</v>
      </c>
      <c r="G444" s="1" t="s">
        <v>148</v>
      </c>
      <c r="H444" s="3" t="s">
        <v>177</v>
      </c>
      <c r="I444" s="16" t="s">
        <v>124</v>
      </c>
      <c r="J444" s="84">
        <v>35000</v>
      </c>
      <c r="K444" s="84">
        <v>35000</v>
      </c>
      <c r="L444" s="84">
        <v>35000</v>
      </c>
      <c r="M444" s="84"/>
      <c r="N444" s="84"/>
      <c r="O444" s="84"/>
      <c r="P444" s="84">
        <f t="shared" si="243"/>
        <v>35000</v>
      </c>
      <c r="Q444" s="84">
        <f t="shared" si="244"/>
        <v>35000</v>
      </c>
      <c r="R444" s="84">
        <f t="shared" si="245"/>
        <v>35000</v>
      </c>
    </row>
    <row r="445" spans="1:18">
      <c r="A445" s="83" t="s">
        <v>240</v>
      </c>
      <c r="B445" s="3" t="s">
        <v>402</v>
      </c>
      <c r="C445" s="3" t="s">
        <v>20</v>
      </c>
      <c r="D445" s="3" t="s">
        <v>49</v>
      </c>
      <c r="E445" s="1" t="s">
        <v>82</v>
      </c>
      <c r="F445" s="1" t="s">
        <v>70</v>
      </c>
      <c r="G445" s="1" t="s">
        <v>148</v>
      </c>
      <c r="H445" s="3" t="s">
        <v>241</v>
      </c>
      <c r="I445" s="16"/>
      <c r="J445" s="84">
        <f>J446</f>
        <v>0</v>
      </c>
      <c r="K445" s="84">
        <f t="shared" ref="K445:O446" si="262">K446</f>
        <v>0</v>
      </c>
      <c r="L445" s="84">
        <f t="shared" si="262"/>
        <v>0</v>
      </c>
      <c r="M445" s="84">
        <f t="shared" si="262"/>
        <v>115000</v>
      </c>
      <c r="N445" s="84">
        <f t="shared" si="262"/>
        <v>0</v>
      </c>
      <c r="O445" s="84">
        <f t="shared" si="262"/>
        <v>0</v>
      </c>
      <c r="P445" s="84">
        <f t="shared" ref="P445:P447" si="263">J445+M445</f>
        <v>115000</v>
      </c>
      <c r="Q445" s="84">
        <f t="shared" ref="Q445:Q447" si="264">K445+N445</f>
        <v>0</v>
      </c>
      <c r="R445" s="84">
        <f t="shared" ref="R445:R447" si="265">L445+O445</f>
        <v>0</v>
      </c>
    </row>
    <row r="446" spans="1:18" ht="25.5">
      <c r="A446" s="80" t="s">
        <v>260</v>
      </c>
      <c r="B446" s="3" t="s">
        <v>402</v>
      </c>
      <c r="C446" s="3" t="s">
        <v>20</v>
      </c>
      <c r="D446" s="3" t="s">
        <v>49</v>
      </c>
      <c r="E446" s="1" t="s">
        <v>82</v>
      </c>
      <c r="F446" s="1" t="s">
        <v>70</v>
      </c>
      <c r="G446" s="1" t="s">
        <v>148</v>
      </c>
      <c r="H446" s="3" t="s">
        <v>241</v>
      </c>
      <c r="I446" s="16" t="s">
        <v>94</v>
      </c>
      <c r="J446" s="84">
        <f>J447</f>
        <v>0</v>
      </c>
      <c r="K446" s="84">
        <f t="shared" si="262"/>
        <v>0</v>
      </c>
      <c r="L446" s="84">
        <f t="shared" si="262"/>
        <v>0</v>
      </c>
      <c r="M446" s="84">
        <f t="shared" si="262"/>
        <v>115000</v>
      </c>
      <c r="N446" s="84">
        <f t="shared" si="262"/>
        <v>0</v>
      </c>
      <c r="O446" s="84">
        <f t="shared" si="262"/>
        <v>0</v>
      </c>
      <c r="P446" s="84">
        <f t="shared" si="263"/>
        <v>115000</v>
      </c>
      <c r="Q446" s="84">
        <f t="shared" si="264"/>
        <v>0</v>
      </c>
      <c r="R446" s="84">
        <f t="shared" si="265"/>
        <v>0</v>
      </c>
    </row>
    <row r="447" spans="1:18" ht="25.5">
      <c r="A447" s="78" t="s">
        <v>98</v>
      </c>
      <c r="B447" s="3" t="s">
        <v>402</v>
      </c>
      <c r="C447" s="3" t="s">
        <v>20</v>
      </c>
      <c r="D447" s="3" t="s">
        <v>49</v>
      </c>
      <c r="E447" s="1" t="s">
        <v>82</v>
      </c>
      <c r="F447" s="1" t="s">
        <v>70</v>
      </c>
      <c r="G447" s="1" t="s">
        <v>148</v>
      </c>
      <c r="H447" s="3" t="s">
        <v>241</v>
      </c>
      <c r="I447" s="16" t="s">
        <v>95</v>
      </c>
      <c r="J447" s="84"/>
      <c r="K447" s="84"/>
      <c r="L447" s="84"/>
      <c r="M447" s="84">
        <v>115000</v>
      </c>
      <c r="N447" s="84"/>
      <c r="O447" s="84"/>
      <c r="P447" s="84">
        <f t="shared" si="263"/>
        <v>115000</v>
      </c>
      <c r="Q447" s="84">
        <f t="shared" si="264"/>
        <v>0</v>
      </c>
      <c r="R447" s="84">
        <f t="shared" si="265"/>
        <v>0</v>
      </c>
    </row>
    <row r="448" spans="1:18" ht="43.5" customHeight="1">
      <c r="A448" s="83" t="s">
        <v>307</v>
      </c>
      <c r="B448" s="3" t="s">
        <v>402</v>
      </c>
      <c r="C448" s="3" t="s">
        <v>20</v>
      </c>
      <c r="D448" s="3" t="s">
        <v>49</v>
      </c>
      <c r="E448" s="1" t="s">
        <v>82</v>
      </c>
      <c r="F448" s="1" t="s">
        <v>70</v>
      </c>
      <c r="G448" s="1" t="s">
        <v>148</v>
      </c>
      <c r="H448" s="3" t="s">
        <v>306</v>
      </c>
      <c r="I448" s="16"/>
      <c r="J448" s="84">
        <f>J449</f>
        <v>2152400</v>
      </c>
      <c r="K448" s="84">
        <f t="shared" ref="K448:O449" si="266">K449</f>
        <v>0</v>
      </c>
      <c r="L448" s="84">
        <f t="shared" si="266"/>
        <v>0</v>
      </c>
      <c r="M448" s="84">
        <f t="shared" si="266"/>
        <v>0</v>
      </c>
      <c r="N448" s="84">
        <f t="shared" si="266"/>
        <v>0</v>
      </c>
      <c r="O448" s="84">
        <f t="shared" si="266"/>
        <v>0</v>
      </c>
      <c r="P448" s="84">
        <f t="shared" si="243"/>
        <v>2152400</v>
      </c>
      <c r="Q448" s="84">
        <f t="shared" si="244"/>
        <v>0</v>
      </c>
      <c r="R448" s="84">
        <f t="shared" si="245"/>
        <v>0</v>
      </c>
    </row>
    <row r="449" spans="1:18">
      <c r="A449" s="9" t="s">
        <v>100</v>
      </c>
      <c r="B449" s="3" t="s">
        <v>402</v>
      </c>
      <c r="C449" s="3" t="s">
        <v>20</v>
      </c>
      <c r="D449" s="3" t="s">
        <v>49</v>
      </c>
      <c r="E449" s="1" t="s">
        <v>82</v>
      </c>
      <c r="F449" s="1" t="s">
        <v>70</v>
      </c>
      <c r="G449" s="1" t="s">
        <v>148</v>
      </c>
      <c r="H449" s="3" t="s">
        <v>306</v>
      </c>
      <c r="I449" s="16" t="s">
        <v>99</v>
      </c>
      <c r="J449" s="84">
        <f>J450</f>
        <v>2152400</v>
      </c>
      <c r="K449" s="84">
        <f t="shared" si="266"/>
        <v>0</v>
      </c>
      <c r="L449" s="84">
        <f t="shared" si="266"/>
        <v>0</v>
      </c>
      <c r="M449" s="84">
        <f t="shared" si="266"/>
        <v>0</v>
      </c>
      <c r="N449" s="84">
        <f t="shared" si="266"/>
        <v>0</v>
      </c>
      <c r="O449" s="84">
        <f t="shared" si="266"/>
        <v>0</v>
      </c>
      <c r="P449" s="84">
        <f t="shared" si="243"/>
        <v>2152400</v>
      </c>
      <c r="Q449" s="84">
        <f t="shared" si="244"/>
        <v>0</v>
      </c>
      <c r="R449" s="84">
        <f t="shared" si="245"/>
        <v>0</v>
      </c>
    </row>
    <row r="450" spans="1:18" ht="25.5">
      <c r="A450" s="9" t="s">
        <v>106</v>
      </c>
      <c r="B450" s="3" t="s">
        <v>402</v>
      </c>
      <c r="C450" s="3" t="s">
        <v>20</v>
      </c>
      <c r="D450" s="3" t="s">
        <v>49</v>
      </c>
      <c r="E450" s="1" t="s">
        <v>82</v>
      </c>
      <c r="F450" s="1" t="s">
        <v>70</v>
      </c>
      <c r="G450" s="1" t="s">
        <v>148</v>
      </c>
      <c r="H450" s="3" t="s">
        <v>306</v>
      </c>
      <c r="I450" s="16" t="s">
        <v>107</v>
      </c>
      <c r="J450" s="84">
        <v>2152400</v>
      </c>
      <c r="K450" s="84"/>
      <c r="L450" s="84"/>
      <c r="M450" s="84"/>
      <c r="N450" s="84"/>
      <c r="O450" s="84"/>
      <c r="P450" s="84">
        <f t="shared" si="243"/>
        <v>2152400</v>
      </c>
      <c r="Q450" s="84">
        <f t="shared" si="244"/>
        <v>0</v>
      </c>
      <c r="R450" s="84">
        <f t="shared" si="245"/>
        <v>0</v>
      </c>
    </row>
    <row r="451" spans="1:18">
      <c r="A451" s="83"/>
      <c r="B451" s="3"/>
      <c r="C451" s="3"/>
      <c r="D451" s="3"/>
      <c r="E451" s="1"/>
      <c r="F451" s="1"/>
      <c r="G451" s="1"/>
      <c r="H451" s="3"/>
      <c r="I451" s="16"/>
      <c r="J451" s="84"/>
      <c r="K451" s="84"/>
      <c r="L451" s="84"/>
      <c r="M451" s="84"/>
      <c r="N451" s="84"/>
      <c r="O451" s="84"/>
      <c r="P451" s="84"/>
      <c r="Q451" s="84"/>
      <c r="R451" s="84"/>
    </row>
    <row r="452" spans="1:18" ht="15.75">
      <c r="A452" s="159" t="s">
        <v>54</v>
      </c>
      <c r="B452" s="26" t="s">
        <v>402</v>
      </c>
      <c r="C452" s="26" t="s">
        <v>17</v>
      </c>
      <c r="D452" s="1"/>
      <c r="E452" s="1"/>
      <c r="F452" s="1"/>
      <c r="G452" s="1"/>
      <c r="H452" s="1"/>
      <c r="I452" s="13"/>
      <c r="J452" s="111">
        <f>+J453</f>
        <v>621621.58000000007</v>
      </c>
      <c r="K452" s="111">
        <f t="shared" ref="K452:O452" si="267">+K453</f>
        <v>650717.02999999991</v>
      </c>
      <c r="L452" s="111">
        <f t="shared" si="267"/>
        <v>669603.63</v>
      </c>
      <c r="M452" s="111">
        <f t="shared" si="267"/>
        <v>11605.619999999995</v>
      </c>
      <c r="N452" s="111">
        <f t="shared" si="267"/>
        <v>12144.13</v>
      </c>
      <c r="O452" s="111">
        <f t="shared" si="267"/>
        <v>17529.900000000001</v>
      </c>
      <c r="P452" s="111">
        <f t="shared" si="243"/>
        <v>633227.20000000007</v>
      </c>
      <c r="Q452" s="111">
        <f t="shared" si="244"/>
        <v>662861.15999999992</v>
      </c>
      <c r="R452" s="111">
        <f t="shared" si="245"/>
        <v>687133.53</v>
      </c>
    </row>
    <row r="453" spans="1:18">
      <c r="A453" s="6" t="s">
        <v>55</v>
      </c>
      <c r="B453" s="15" t="s">
        <v>402</v>
      </c>
      <c r="C453" s="15" t="s">
        <v>17</v>
      </c>
      <c r="D453" s="15" t="s">
        <v>13</v>
      </c>
      <c r="E453" s="15"/>
      <c r="F453" s="15"/>
      <c r="G453" s="15"/>
      <c r="H453" s="15"/>
      <c r="I453" s="27"/>
      <c r="J453" s="112">
        <f>J454</f>
        <v>621621.58000000007</v>
      </c>
      <c r="K453" s="112">
        <f t="shared" ref="K453:O453" si="268">K454</f>
        <v>650717.02999999991</v>
      </c>
      <c r="L453" s="112">
        <f t="shared" si="268"/>
        <v>669603.63</v>
      </c>
      <c r="M453" s="112">
        <f t="shared" si="268"/>
        <v>11605.619999999995</v>
      </c>
      <c r="N453" s="112">
        <f t="shared" si="268"/>
        <v>12144.13</v>
      </c>
      <c r="O453" s="112">
        <f t="shared" si="268"/>
        <v>17529.900000000001</v>
      </c>
      <c r="P453" s="112">
        <f t="shared" si="243"/>
        <v>633227.20000000007</v>
      </c>
      <c r="Q453" s="112">
        <f t="shared" si="244"/>
        <v>662861.15999999992</v>
      </c>
      <c r="R453" s="112">
        <f t="shared" si="245"/>
        <v>687133.53</v>
      </c>
    </row>
    <row r="454" spans="1:18">
      <c r="A454" s="2" t="s">
        <v>83</v>
      </c>
      <c r="B454" s="3" t="s">
        <v>402</v>
      </c>
      <c r="C454" s="1" t="s">
        <v>17</v>
      </c>
      <c r="D454" s="1" t="s">
        <v>13</v>
      </c>
      <c r="E454" s="1" t="s">
        <v>82</v>
      </c>
      <c r="F454" s="1" t="s">
        <v>70</v>
      </c>
      <c r="G454" s="1" t="s">
        <v>148</v>
      </c>
      <c r="H454" s="1" t="s">
        <v>149</v>
      </c>
      <c r="I454" s="13"/>
      <c r="J454" s="113">
        <f>J455</f>
        <v>621621.58000000007</v>
      </c>
      <c r="K454" s="113">
        <f t="shared" ref="K454:O454" si="269">K455</f>
        <v>650717.02999999991</v>
      </c>
      <c r="L454" s="113">
        <f t="shared" si="269"/>
        <v>669603.63</v>
      </c>
      <c r="M454" s="113">
        <f t="shared" si="269"/>
        <v>11605.619999999995</v>
      </c>
      <c r="N454" s="113">
        <f t="shared" si="269"/>
        <v>12144.13</v>
      </c>
      <c r="O454" s="113">
        <f t="shared" si="269"/>
        <v>17529.900000000001</v>
      </c>
      <c r="P454" s="113">
        <f t="shared" si="243"/>
        <v>633227.20000000007</v>
      </c>
      <c r="Q454" s="113">
        <f t="shared" si="244"/>
        <v>662861.15999999992</v>
      </c>
      <c r="R454" s="113">
        <f t="shared" si="245"/>
        <v>687133.53</v>
      </c>
    </row>
    <row r="455" spans="1:18" ht="25.5">
      <c r="A455" s="11" t="s">
        <v>304</v>
      </c>
      <c r="B455" s="3" t="s">
        <v>402</v>
      </c>
      <c r="C455" s="1" t="s">
        <v>17</v>
      </c>
      <c r="D455" s="1" t="s">
        <v>13</v>
      </c>
      <c r="E455" s="1" t="s">
        <v>82</v>
      </c>
      <c r="F455" s="1" t="s">
        <v>70</v>
      </c>
      <c r="G455" s="1" t="s">
        <v>148</v>
      </c>
      <c r="H455" s="1" t="s">
        <v>305</v>
      </c>
      <c r="I455" s="13"/>
      <c r="J455" s="113">
        <f>J456+J458</f>
        <v>621621.58000000007</v>
      </c>
      <c r="K455" s="113">
        <f t="shared" ref="K455:L455" si="270">K456+K458</f>
        <v>650717.02999999991</v>
      </c>
      <c r="L455" s="113">
        <f t="shared" si="270"/>
        <v>669603.63</v>
      </c>
      <c r="M455" s="113">
        <f t="shared" ref="M455:O455" si="271">M456+M458</f>
        <v>11605.619999999995</v>
      </c>
      <c r="N455" s="113">
        <f t="shared" si="271"/>
        <v>12144.13</v>
      </c>
      <c r="O455" s="113">
        <f t="shared" si="271"/>
        <v>17529.900000000001</v>
      </c>
      <c r="P455" s="113">
        <f t="shared" si="243"/>
        <v>633227.20000000007</v>
      </c>
      <c r="Q455" s="113">
        <f t="shared" si="244"/>
        <v>662861.15999999992</v>
      </c>
      <c r="R455" s="113">
        <f t="shared" si="245"/>
        <v>687133.53</v>
      </c>
    </row>
    <row r="456" spans="1:18" ht="38.25">
      <c r="A456" s="78" t="s">
        <v>96</v>
      </c>
      <c r="B456" s="3" t="s">
        <v>402</v>
      </c>
      <c r="C456" s="1" t="s">
        <v>17</v>
      </c>
      <c r="D456" s="1" t="s">
        <v>13</v>
      </c>
      <c r="E456" s="1" t="s">
        <v>82</v>
      </c>
      <c r="F456" s="1" t="s">
        <v>70</v>
      </c>
      <c r="G456" s="1" t="s">
        <v>148</v>
      </c>
      <c r="H456" s="1" t="s">
        <v>305</v>
      </c>
      <c r="I456" s="13" t="s">
        <v>92</v>
      </c>
      <c r="J456" s="113">
        <f>J457</f>
        <v>570116.66</v>
      </c>
      <c r="K456" s="113">
        <f t="shared" ref="K456:O456" si="272">K457</f>
        <v>623398.46</v>
      </c>
      <c r="L456" s="113">
        <f t="shared" si="272"/>
        <v>623398.46</v>
      </c>
      <c r="M456" s="113">
        <f t="shared" si="272"/>
        <v>-242012.66</v>
      </c>
      <c r="N456" s="113">
        <f t="shared" si="272"/>
        <v>12144.13</v>
      </c>
      <c r="O456" s="113">
        <f t="shared" si="272"/>
        <v>17529.900000000001</v>
      </c>
      <c r="P456" s="113">
        <f t="shared" si="243"/>
        <v>328104</v>
      </c>
      <c r="Q456" s="113">
        <f t="shared" si="244"/>
        <v>635542.59</v>
      </c>
      <c r="R456" s="113">
        <f t="shared" si="245"/>
        <v>640928.36</v>
      </c>
    </row>
    <row r="457" spans="1:18">
      <c r="A457" s="78" t="s">
        <v>103</v>
      </c>
      <c r="B457" s="3" t="s">
        <v>402</v>
      </c>
      <c r="C457" s="1" t="s">
        <v>17</v>
      </c>
      <c r="D457" s="1" t="s">
        <v>13</v>
      </c>
      <c r="E457" s="1" t="s">
        <v>82</v>
      </c>
      <c r="F457" s="1" t="s">
        <v>70</v>
      </c>
      <c r="G457" s="1" t="s">
        <v>148</v>
      </c>
      <c r="H457" s="1" t="s">
        <v>305</v>
      </c>
      <c r="I457" s="13" t="s">
        <v>102</v>
      </c>
      <c r="J457" s="113">
        <f>548166.66+21950</f>
        <v>570116.66</v>
      </c>
      <c r="K457" s="113">
        <f>601448.46+21950</f>
        <v>623398.46</v>
      </c>
      <c r="L457" s="113">
        <f>601448.46+21950</f>
        <v>623398.46</v>
      </c>
      <c r="M457" s="113">
        <f>11605.62-253618.28</f>
        <v>-242012.66</v>
      </c>
      <c r="N457" s="113">
        <v>12144.13</v>
      </c>
      <c r="O457" s="113">
        <v>17529.900000000001</v>
      </c>
      <c r="P457" s="113">
        <f t="shared" si="243"/>
        <v>328104</v>
      </c>
      <c r="Q457" s="113">
        <f t="shared" si="244"/>
        <v>635542.59</v>
      </c>
      <c r="R457" s="113">
        <f t="shared" si="245"/>
        <v>640928.36</v>
      </c>
    </row>
    <row r="458" spans="1:18" ht="25.5">
      <c r="A458" s="80" t="s">
        <v>260</v>
      </c>
      <c r="B458" s="3" t="s">
        <v>402</v>
      </c>
      <c r="C458" s="1" t="s">
        <v>17</v>
      </c>
      <c r="D458" s="1" t="s">
        <v>13</v>
      </c>
      <c r="E458" s="1" t="s">
        <v>82</v>
      </c>
      <c r="F458" s="1" t="s">
        <v>70</v>
      </c>
      <c r="G458" s="1" t="s">
        <v>148</v>
      </c>
      <c r="H458" s="1" t="s">
        <v>305</v>
      </c>
      <c r="I458" s="13" t="s">
        <v>94</v>
      </c>
      <c r="J458" s="113">
        <f>J459</f>
        <v>51504.92</v>
      </c>
      <c r="K458" s="113">
        <f t="shared" ref="K458:O458" si="273">K459</f>
        <v>27318.57</v>
      </c>
      <c r="L458" s="113">
        <f t="shared" si="273"/>
        <v>46205.17</v>
      </c>
      <c r="M458" s="113">
        <f t="shared" si="273"/>
        <v>253618.28</v>
      </c>
      <c r="N458" s="113">
        <f t="shared" si="273"/>
        <v>0</v>
      </c>
      <c r="O458" s="113">
        <f t="shared" si="273"/>
        <v>0</v>
      </c>
      <c r="P458" s="113">
        <f t="shared" si="243"/>
        <v>305123.20000000001</v>
      </c>
      <c r="Q458" s="113">
        <f t="shared" si="244"/>
        <v>27318.57</v>
      </c>
      <c r="R458" s="113">
        <f t="shared" si="245"/>
        <v>46205.17</v>
      </c>
    </row>
    <row r="459" spans="1:18" ht="25.5">
      <c r="A459" s="78" t="s">
        <v>98</v>
      </c>
      <c r="B459" s="3" t="s">
        <v>402</v>
      </c>
      <c r="C459" s="1" t="s">
        <v>17</v>
      </c>
      <c r="D459" s="1" t="s">
        <v>13</v>
      </c>
      <c r="E459" s="1" t="s">
        <v>82</v>
      </c>
      <c r="F459" s="1" t="s">
        <v>70</v>
      </c>
      <c r="G459" s="1" t="s">
        <v>148</v>
      </c>
      <c r="H459" s="1" t="s">
        <v>305</v>
      </c>
      <c r="I459" s="13" t="s">
        <v>95</v>
      </c>
      <c r="J459" s="113">
        <v>51504.92</v>
      </c>
      <c r="K459" s="113">
        <v>27318.57</v>
      </c>
      <c r="L459" s="113">
        <v>46205.17</v>
      </c>
      <c r="M459" s="113">
        <v>253618.28</v>
      </c>
      <c r="N459" s="113"/>
      <c r="O459" s="113"/>
      <c r="P459" s="113">
        <f t="shared" si="243"/>
        <v>305123.20000000001</v>
      </c>
      <c r="Q459" s="113">
        <f t="shared" si="244"/>
        <v>27318.57</v>
      </c>
      <c r="R459" s="113">
        <f t="shared" si="245"/>
        <v>46205.17</v>
      </c>
    </row>
    <row r="460" spans="1:18">
      <c r="A460" s="2"/>
      <c r="B460" s="1"/>
      <c r="C460" s="1"/>
      <c r="D460" s="1"/>
      <c r="E460" s="1"/>
      <c r="F460" s="1"/>
      <c r="G460" s="1"/>
      <c r="H460" s="1"/>
      <c r="I460" s="13"/>
      <c r="J460" s="113"/>
      <c r="K460" s="113"/>
      <c r="L460" s="113"/>
      <c r="M460" s="113"/>
      <c r="N460" s="113"/>
      <c r="O460" s="113"/>
      <c r="P460" s="113"/>
      <c r="Q460" s="113"/>
      <c r="R460" s="113"/>
    </row>
    <row r="461" spans="1:18" s="136" customFormat="1" ht="31.5">
      <c r="A461" s="96" t="s">
        <v>26</v>
      </c>
      <c r="B461" s="97" t="s">
        <v>402</v>
      </c>
      <c r="C461" s="97" t="s">
        <v>13</v>
      </c>
      <c r="D461" s="98"/>
      <c r="E461" s="98"/>
      <c r="F461" s="98"/>
      <c r="G461" s="98"/>
      <c r="H461" s="98"/>
      <c r="I461" s="99"/>
      <c r="J461" s="115">
        <f>J462+J483</f>
        <v>5759468</v>
      </c>
      <c r="K461" s="115">
        <f t="shared" ref="K461:L461" si="274">K462+K483</f>
        <v>4408686.72</v>
      </c>
      <c r="L461" s="115">
        <f t="shared" si="274"/>
        <v>3122434.19</v>
      </c>
      <c r="M461" s="115">
        <f t="shared" ref="M461:O461" si="275">M462+M483</f>
        <v>0</v>
      </c>
      <c r="N461" s="115">
        <f t="shared" si="275"/>
        <v>0</v>
      </c>
      <c r="O461" s="115">
        <f t="shared" si="275"/>
        <v>0</v>
      </c>
      <c r="P461" s="115">
        <f t="shared" si="243"/>
        <v>5759468</v>
      </c>
      <c r="Q461" s="115">
        <f t="shared" si="244"/>
        <v>4408686.72</v>
      </c>
      <c r="R461" s="115">
        <f t="shared" si="245"/>
        <v>3122434.19</v>
      </c>
    </row>
    <row r="462" spans="1:18" ht="38.25">
      <c r="A462" s="100" t="s">
        <v>230</v>
      </c>
      <c r="B462" s="101" t="s">
        <v>402</v>
      </c>
      <c r="C462" s="101" t="s">
        <v>13</v>
      </c>
      <c r="D462" s="101" t="s">
        <v>30</v>
      </c>
      <c r="E462" s="101"/>
      <c r="F462" s="101"/>
      <c r="G462" s="101"/>
      <c r="H462" s="101"/>
      <c r="I462" s="139"/>
      <c r="J462" s="121">
        <f t="shared" ref="J462:O477" si="276">J463</f>
        <v>5689468</v>
      </c>
      <c r="K462" s="121">
        <f t="shared" si="276"/>
        <v>4338686.72</v>
      </c>
      <c r="L462" s="121">
        <f t="shared" si="276"/>
        <v>3052434.19</v>
      </c>
      <c r="M462" s="121">
        <f t="shared" si="276"/>
        <v>0</v>
      </c>
      <c r="N462" s="121">
        <f t="shared" si="276"/>
        <v>0</v>
      </c>
      <c r="O462" s="121">
        <f t="shared" si="276"/>
        <v>0</v>
      </c>
      <c r="P462" s="121">
        <f t="shared" si="243"/>
        <v>5689468</v>
      </c>
      <c r="Q462" s="121">
        <f t="shared" si="244"/>
        <v>4338686.72</v>
      </c>
      <c r="R462" s="121">
        <f t="shared" si="245"/>
        <v>3052434.19</v>
      </c>
    </row>
    <row r="463" spans="1:18">
      <c r="A463" s="137" t="s">
        <v>290</v>
      </c>
      <c r="B463" s="102" t="s">
        <v>402</v>
      </c>
      <c r="C463" s="102" t="s">
        <v>13</v>
      </c>
      <c r="D463" s="102" t="s">
        <v>30</v>
      </c>
      <c r="E463" s="102" t="s">
        <v>214</v>
      </c>
      <c r="F463" s="102" t="s">
        <v>70</v>
      </c>
      <c r="G463" s="102" t="s">
        <v>148</v>
      </c>
      <c r="H463" s="102" t="s">
        <v>149</v>
      </c>
      <c r="I463" s="103"/>
      <c r="J463" s="138">
        <f>J470+J476+J479+J464+J467+J473</f>
        <v>5689468</v>
      </c>
      <c r="K463" s="138">
        <f t="shared" ref="K463:L463" si="277">K470+K476+K479+K464+K467+K473</f>
        <v>4338686.72</v>
      </c>
      <c r="L463" s="138">
        <f t="shared" si="277"/>
        <v>3052434.19</v>
      </c>
      <c r="M463" s="138">
        <f t="shared" ref="M463:O463" si="278">M470+M476+M479+M464+M467+M473</f>
        <v>0</v>
      </c>
      <c r="N463" s="138">
        <f t="shared" si="278"/>
        <v>0</v>
      </c>
      <c r="O463" s="138">
        <f t="shared" si="278"/>
        <v>0</v>
      </c>
      <c r="P463" s="138">
        <f t="shared" si="243"/>
        <v>5689468</v>
      </c>
      <c r="Q463" s="138">
        <f t="shared" si="244"/>
        <v>4338686.72</v>
      </c>
      <c r="R463" s="138">
        <f t="shared" si="245"/>
        <v>3052434.19</v>
      </c>
    </row>
    <row r="464" spans="1:18" ht="25.5">
      <c r="A464" s="137" t="s">
        <v>334</v>
      </c>
      <c r="B464" s="102" t="s">
        <v>402</v>
      </c>
      <c r="C464" s="102" t="s">
        <v>13</v>
      </c>
      <c r="D464" s="102" t="s">
        <v>30</v>
      </c>
      <c r="E464" s="102" t="s">
        <v>214</v>
      </c>
      <c r="F464" s="102" t="s">
        <v>70</v>
      </c>
      <c r="G464" s="102" t="s">
        <v>148</v>
      </c>
      <c r="H464" s="102" t="s">
        <v>333</v>
      </c>
      <c r="I464" s="103"/>
      <c r="J464" s="138">
        <f>J465</f>
        <v>300000</v>
      </c>
      <c r="K464" s="138">
        <f t="shared" ref="K464:O465" si="279">K465</f>
        <v>300000</v>
      </c>
      <c r="L464" s="138">
        <f t="shared" si="279"/>
        <v>300000</v>
      </c>
      <c r="M464" s="138">
        <f t="shared" si="279"/>
        <v>0</v>
      </c>
      <c r="N464" s="138">
        <f t="shared" si="279"/>
        <v>0</v>
      </c>
      <c r="O464" s="138">
        <f t="shared" si="279"/>
        <v>0</v>
      </c>
      <c r="P464" s="138">
        <f t="shared" si="243"/>
        <v>300000</v>
      </c>
      <c r="Q464" s="138">
        <f t="shared" si="244"/>
        <v>300000</v>
      </c>
      <c r="R464" s="138">
        <f t="shared" si="245"/>
        <v>300000</v>
      </c>
    </row>
    <row r="465" spans="1:18" ht="25.5">
      <c r="A465" s="80" t="s">
        <v>260</v>
      </c>
      <c r="B465" s="102" t="s">
        <v>402</v>
      </c>
      <c r="C465" s="102" t="s">
        <v>13</v>
      </c>
      <c r="D465" s="102" t="s">
        <v>30</v>
      </c>
      <c r="E465" s="102" t="s">
        <v>214</v>
      </c>
      <c r="F465" s="102" t="s">
        <v>70</v>
      </c>
      <c r="G465" s="102" t="s">
        <v>148</v>
      </c>
      <c r="H465" s="102" t="s">
        <v>333</v>
      </c>
      <c r="I465" s="103" t="s">
        <v>94</v>
      </c>
      <c r="J465" s="138">
        <f>J466</f>
        <v>300000</v>
      </c>
      <c r="K465" s="138">
        <f t="shared" si="279"/>
        <v>300000</v>
      </c>
      <c r="L465" s="138">
        <f t="shared" si="279"/>
        <v>300000</v>
      </c>
      <c r="M465" s="138">
        <f t="shared" si="279"/>
        <v>0</v>
      </c>
      <c r="N465" s="138">
        <f t="shared" si="279"/>
        <v>0</v>
      </c>
      <c r="O465" s="138">
        <f t="shared" si="279"/>
        <v>0</v>
      </c>
      <c r="P465" s="138">
        <f t="shared" si="243"/>
        <v>300000</v>
      </c>
      <c r="Q465" s="138">
        <f t="shared" si="244"/>
        <v>300000</v>
      </c>
      <c r="R465" s="138">
        <f t="shared" si="245"/>
        <v>300000</v>
      </c>
    </row>
    <row r="466" spans="1:18" ht="25.5">
      <c r="A466" s="78" t="s">
        <v>98</v>
      </c>
      <c r="B466" s="102" t="s">
        <v>402</v>
      </c>
      <c r="C466" s="102" t="s">
        <v>13</v>
      </c>
      <c r="D466" s="102" t="s">
        <v>30</v>
      </c>
      <c r="E466" s="102" t="s">
        <v>214</v>
      </c>
      <c r="F466" s="102" t="s">
        <v>70</v>
      </c>
      <c r="G466" s="102" t="s">
        <v>148</v>
      </c>
      <c r="H466" s="102" t="s">
        <v>333</v>
      </c>
      <c r="I466" s="103" t="s">
        <v>95</v>
      </c>
      <c r="J466" s="138">
        <v>300000</v>
      </c>
      <c r="K466" s="138">
        <v>300000</v>
      </c>
      <c r="L466" s="138">
        <v>300000</v>
      </c>
      <c r="M466" s="138"/>
      <c r="N466" s="138"/>
      <c r="O466" s="138"/>
      <c r="P466" s="138">
        <f t="shared" si="243"/>
        <v>300000</v>
      </c>
      <c r="Q466" s="138">
        <f t="shared" si="244"/>
        <v>300000</v>
      </c>
      <c r="R466" s="138">
        <f t="shared" si="245"/>
        <v>300000</v>
      </c>
    </row>
    <row r="467" spans="1:18">
      <c r="A467" s="83" t="s">
        <v>336</v>
      </c>
      <c r="B467" s="102" t="s">
        <v>402</v>
      </c>
      <c r="C467" s="102" t="s">
        <v>13</v>
      </c>
      <c r="D467" s="102" t="s">
        <v>30</v>
      </c>
      <c r="E467" s="102" t="s">
        <v>214</v>
      </c>
      <c r="F467" s="102" t="s">
        <v>70</v>
      </c>
      <c r="G467" s="102" t="s">
        <v>148</v>
      </c>
      <c r="H467" s="102" t="s">
        <v>335</v>
      </c>
      <c r="I467" s="103"/>
      <c r="J467" s="138">
        <f>J468</f>
        <v>3630468</v>
      </c>
      <c r="K467" s="138">
        <f t="shared" ref="K467:O468" si="280">K468</f>
        <v>3643686.7199999997</v>
      </c>
      <c r="L467" s="138">
        <f t="shared" si="280"/>
        <v>2357434.19</v>
      </c>
      <c r="M467" s="138">
        <f t="shared" si="280"/>
        <v>0</v>
      </c>
      <c r="N467" s="138">
        <f t="shared" si="280"/>
        <v>0</v>
      </c>
      <c r="O467" s="138">
        <f t="shared" si="280"/>
        <v>0</v>
      </c>
      <c r="P467" s="138">
        <f t="shared" si="243"/>
        <v>3630468</v>
      </c>
      <c r="Q467" s="138">
        <f t="shared" si="244"/>
        <v>3643686.7199999997</v>
      </c>
      <c r="R467" s="138">
        <f t="shared" si="245"/>
        <v>2357434.19</v>
      </c>
    </row>
    <row r="468" spans="1:18" ht="25.5">
      <c r="A468" s="80" t="s">
        <v>260</v>
      </c>
      <c r="B468" s="102" t="s">
        <v>402</v>
      </c>
      <c r="C468" s="102" t="s">
        <v>13</v>
      </c>
      <c r="D468" s="102" t="s">
        <v>30</v>
      </c>
      <c r="E468" s="102" t="s">
        <v>214</v>
      </c>
      <c r="F468" s="102" t="s">
        <v>70</v>
      </c>
      <c r="G468" s="102" t="s">
        <v>148</v>
      </c>
      <c r="H468" s="102" t="s">
        <v>335</v>
      </c>
      <c r="I468" s="103" t="s">
        <v>94</v>
      </c>
      <c r="J468" s="138">
        <f>J469</f>
        <v>3630468</v>
      </c>
      <c r="K468" s="138">
        <f t="shared" si="280"/>
        <v>3643686.7199999997</v>
      </c>
      <c r="L468" s="138">
        <f t="shared" si="280"/>
        <v>2357434.19</v>
      </c>
      <c r="M468" s="138">
        <f t="shared" si="280"/>
        <v>0</v>
      </c>
      <c r="N468" s="138">
        <f t="shared" si="280"/>
        <v>0</v>
      </c>
      <c r="O468" s="138">
        <f t="shared" si="280"/>
        <v>0</v>
      </c>
      <c r="P468" s="138">
        <f t="shared" si="243"/>
        <v>3630468</v>
      </c>
      <c r="Q468" s="138">
        <f t="shared" si="244"/>
        <v>3643686.7199999997</v>
      </c>
      <c r="R468" s="138">
        <f t="shared" si="245"/>
        <v>2357434.19</v>
      </c>
    </row>
    <row r="469" spans="1:18" ht="25.5">
      <c r="A469" s="78" t="s">
        <v>98</v>
      </c>
      <c r="B469" s="102" t="s">
        <v>402</v>
      </c>
      <c r="C469" s="102" t="s">
        <v>13</v>
      </c>
      <c r="D469" s="102" t="s">
        <v>30</v>
      </c>
      <c r="E469" s="102" t="s">
        <v>214</v>
      </c>
      <c r="F469" s="102" t="s">
        <v>70</v>
      </c>
      <c r="G469" s="102" t="s">
        <v>148</v>
      </c>
      <c r="H469" s="102" t="s">
        <v>335</v>
      </c>
      <c r="I469" s="103" t="s">
        <v>95</v>
      </c>
      <c r="J469" s="138">
        <f>3300000+330468</f>
        <v>3630468</v>
      </c>
      <c r="K469" s="138">
        <f>3300000+343686.72</f>
        <v>3643686.7199999997</v>
      </c>
      <c r="L469" s="138">
        <f>2000000+357434.19</f>
        <v>2357434.19</v>
      </c>
      <c r="M469" s="138"/>
      <c r="N469" s="138"/>
      <c r="O469" s="138"/>
      <c r="P469" s="138">
        <f t="shared" si="243"/>
        <v>3630468</v>
      </c>
      <c r="Q469" s="138">
        <f t="shared" si="244"/>
        <v>3643686.7199999997</v>
      </c>
      <c r="R469" s="138">
        <f t="shared" si="245"/>
        <v>2357434.19</v>
      </c>
    </row>
    <row r="470" spans="1:18" ht="25.5">
      <c r="A470" s="137" t="s">
        <v>337</v>
      </c>
      <c r="B470" s="102" t="s">
        <v>402</v>
      </c>
      <c r="C470" s="102" t="s">
        <v>13</v>
      </c>
      <c r="D470" s="102" t="s">
        <v>30</v>
      </c>
      <c r="E470" s="102" t="s">
        <v>214</v>
      </c>
      <c r="F470" s="102" t="s">
        <v>70</v>
      </c>
      <c r="G470" s="102" t="s">
        <v>148</v>
      </c>
      <c r="H470" s="102" t="s">
        <v>266</v>
      </c>
      <c r="I470" s="103"/>
      <c r="J470" s="138">
        <f>J471</f>
        <v>40000</v>
      </c>
      <c r="K470" s="138">
        <f t="shared" ref="K470:O471" si="281">K471</f>
        <v>40000</v>
      </c>
      <c r="L470" s="138">
        <f t="shared" si="281"/>
        <v>40000</v>
      </c>
      <c r="M470" s="138">
        <f t="shared" si="281"/>
        <v>0</v>
      </c>
      <c r="N470" s="138">
        <f t="shared" si="281"/>
        <v>0</v>
      </c>
      <c r="O470" s="138">
        <f t="shared" si="281"/>
        <v>0</v>
      </c>
      <c r="P470" s="138">
        <f t="shared" si="243"/>
        <v>40000</v>
      </c>
      <c r="Q470" s="138">
        <f t="shared" si="244"/>
        <v>40000</v>
      </c>
      <c r="R470" s="138">
        <f t="shared" si="245"/>
        <v>40000</v>
      </c>
    </row>
    <row r="471" spans="1:18" ht="25.5">
      <c r="A471" s="80" t="s">
        <v>260</v>
      </c>
      <c r="B471" s="102" t="s">
        <v>402</v>
      </c>
      <c r="C471" s="102" t="s">
        <v>13</v>
      </c>
      <c r="D471" s="102" t="s">
        <v>30</v>
      </c>
      <c r="E471" s="102" t="s">
        <v>214</v>
      </c>
      <c r="F471" s="102" t="s">
        <v>70</v>
      </c>
      <c r="G471" s="102" t="s">
        <v>148</v>
      </c>
      <c r="H471" s="102" t="s">
        <v>266</v>
      </c>
      <c r="I471" s="103" t="s">
        <v>94</v>
      </c>
      <c r="J471" s="138">
        <f>J472</f>
        <v>40000</v>
      </c>
      <c r="K471" s="138">
        <f t="shared" si="281"/>
        <v>40000</v>
      </c>
      <c r="L471" s="138">
        <f t="shared" si="281"/>
        <v>40000</v>
      </c>
      <c r="M471" s="138">
        <f t="shared" si="281"/>
        <v>0</v>
      </c>
      <c r="N471" s="138">
        <f t="shared" si="281"/>
        <v>0</v>
      </c>
      <c r="O471" s="138">
        <f t="shared" si="281"/>
        <v>0</v>
      </c>
      <c r="P471" s="138">
        <f t="shared" si="243"/>
        <v>40000</v>
      </c>
      <c r="Q471" s="138">
        <f t="shared" si="244"/>
        <v>40000</v>
      </c>
      <c r="R471" s="138">
        <f t="shared" si="245"/>
        <v>40000</v>
      </c>
    </row>
    <row r="472" spans="1:18" ht="25.5">
      <c r="A472" s="78" t="s">
        <v>98</v>
      </c>
      <c r="B472" s="102" t="s">
        <v>402</v>
      </c>
      <c r="C472" s="102" t="s">
        <v>13</v>
      </c>
      <c r="D472" s="102" t="s">
        <v>30</v>
      </c>
      <c r="E472" s="102" t="s">
        <v>214</v>
      </c>
      <c r="F472" s="102" t="s">
        <v>70</v>
      </c>
      <c r="G472" s="102" t="s">
        <v>148</v>
      </c>
      <c r="H472" s="102" t="s">
        <v>266</v>
      </c>
      <c r="I472" s="103" t="s">
        <v>95</v>
      </c>
      <c r="J472" s="138">
        <v>40000</v>
      </c>
      <c r="K472" s="138">
        <v>40000</v>
      </c>
      <c r="L472" s="138">
        <v>40000</v>
      </c>
      <c r="M472" s="138"/>
      <c r="N472" s="138"/>
      <c r="O472" s="138"/>
      <c r="P472" s="138">
        <f t="shared" si="243"/>
        <v>40000</v>
      </c>
      <c r="Q472" s="138">
        <f t="shared" si="244"/>
        <v>40000</v>
      </c>
      <c r="R472" s="138">
        <f t="shared" si="245"/>
        <v>40000</v>
      </c>
    </row>
    <row r="473" spans="1:18">
      <c r="A473" s="78" t="s">
        <v>339</v>
      </c>
      <c r="B473" s="102" t="s">
        <v>402</v>
      </c>
      <c r="C473" s="102" t="s">
        <v>13</v>
      </c>
      <c r="D473" s="102" t="s">
        <v>30</v>
      </c>
      <c r="E473" s="102" t="s">
        <v>214</v>
      </c>
      <c r="F473" s="102" t="s">
        <v>70</v>
      </c>
      <c r="G473" s="102" t="s">
        <v>148</v>
      </c>
      <c r="H473" s="102" t="s">
        <v>338</v>
      </c>
      <c r="I473" s="103"/>
      <c r="J473" s="138">
        <f>J474</f>
        <v>155000</v>
      </c>
      <c r="K473" s="138">
        <f t="shared" ref="K473:O474" si="282">K474</f>
        <v>155000</v>
      </c>
      <c r="L473" s="138">
        <f t="shared" si="282"/>
        <v>155000</v>
      </c>
      <c r="M473" s="138">
        <f t="shared" si="282"/>
        <v>0</v>
      </c>
      <c r="N473" s="138">
        <f t="shared" si="282"/>
        <v>0</v>
      </c>
      <c r="O473" s="138">
        <f t="shared" si="282"/>
        <v>0</v>
      </c>
      <c r="P473" s="138">
        <f t="shared" si="243"/>
        <v>155000</v>
      </c>
      <c r="Q473" s="138">
        <f t="shared" si="244"/>
        <v>155000</v>
      </c>
      <c r="R473" s="138">
        <f t="shared" si="245"/>
        <v>155000</v>
      </c>
    </row>
    <row r="474" spans="1:18" ht="25.5">
      <c r="A474" s="80" t="s">
        <v>260</v>
      </c>
      <c r="B474" s="102" t="s">
        <v>402</v>
      </c>
      <c r="C474" s="102" t="s">
        <v>13</v>
      </c>
      <c r="D474" s="102" t="s">
        <v>30</v>
      </c>
      <c r="E474" s="102" t="s">
        <v>214</v>
      </c>
      <c r="F474" s="102" t="s">
        <v>70</v>
      </c>
      <c r="G474" s="102" t="s">
        <v>148</v>
      </c>
      <c r="H474" s="102" t="s">
        <v>338</v>
      </c>
      <c r="I474" s="103" t="s">
        <v>94</v>
      </c>
      <c r="J474" s="138">
        <f>J475</f>
        <v>155000</v>
      </c>
      <c r="K474" s="138">
        <f t="shared" si="282"/>
        <v>155000</v>
      </c>
      <c r="L474" s="138">
        <f t="shared" si="282"/>
        <v>155000</v>
      </c>
      <c r="M474" s="138">
        <f t="shared" si="282"/>
        <v>0</v>
      </c>
      <c r="N474" s="138">
        <f t="shared" si="282"/>
        <v>0</v>
      </c>
      <c r="O474" s="138">
        <f t="shared" si="282"/>
        <v>0</v>
      </c>
      <c r="P474" s="138">
        <f t="shared" si="243"/>
        <v>155000</v>
      </c>
      <c r="Q474" s="138">
        <f t="shared" si="244"/>
        <v>155000</v>
      </c>
      <c r="R474" s="138">
        <f t="shared" si="245"/>
        <v>155000</v>
      </c>
    </row>
    <row r="475" spans="1:18" ht="25.5">
      <c r="A475" s="78" t="s">
        <v>98</v>
      </c>
      <c r="B475" s="102" t="s">
        <v>402</v>
      </c>
      <c r="C475" s="102" t="s">
        <v>13</v>
      </c>
      <c r="D475" s="102" t="s">
        <v>30</v>
      </c>
      <c r="E475" s="102" t="s">
        <v>214</v>
      </c>
      <c r="F475" s="102" t="s">
        <v>70</v>
      </c>
      <c r="G475" s="102" t="s">
        <v>148</v>
      </c>
      <c r="H475" s="102" t="s">
        <v>338</v>
      </c>
      <c r="I475" s="103" t="s">
        <v>95</v>
      </c>
      <c r="J475" s="138">
        <v>155000</v>
      </c>
      <c r="K475" s="138">
        <v>155000</v>
      </c>
      <c r="L475" s="138">
        <v>155000</v>
      </c>
      <c r="M475" s="138"/>
      <c r="N475" s="138"/>
      <c r="O475" s="138"/>
      <c r="P475" s="138">
        <f t="shared" si="243"/>
        <v>155000</v>
      </c>
      <c r="Q475" s="138">
        <f t="shared" si="244"/>
        <v>155000</v>
      </c>
      <c r="R475" s="138">
        <f t="shared" si="245"/>
        <v>155000</v>
      </c>
    </row>
    <row r="476" spans="1:18">
      <c r="A476" s="5" t="s">
        <v>332</v>
      </c>
      <c r="B476" s="102" t="s">
        <v>402</v>
      </c>
      <c r="C476" s="102" t="s">
        <v>13</v>
      </c>
      <c r="D476" s="102" t="s">
        <v>30</v>
      </c>
      <c r="E476" s="102" t="s">
        <v>214</v>
      </c>
      <c r="F476" s="102" t="s">
        <v>70</v>
      </c>
      <c r="G476" s="102" t="s">
        <v>148</v>
      </c>
      <c r="H476" s="102" t="s">
        <v>185</v>
      </c>
      <c r="I476" s="103"/>
      <c r="J476" s="138">
        <f t="shared" si="276"/>
        <v>200000</v>
      </c>
      <c r="K476" s="138">
        <f t="shared" si="276"/>
        <v>200000</v>
      </c>
      <c r="L476" s="138">
        <f t="shared" si="276"/>
        <v>200000</v>
      </c>
      <c r="M476" s="138">
        <f t="shared" si="276"/>
        <v>0</v>
      </c>
      <c r="N476" s="138">
        <f t="shared" si="276"/>
        <v>0</v>
      </c>
      <c r="O476" s="138">
        <f t="shared" si="276"/>
        <v>0</v>
      </c>
      <c r="P476" s="138">
        <f t="shared" si="243"/>
        <v>200000</v>
      </c>
      <c r="Q476" s="138">
        <f t="shared" si="244"/>
        <v>200000</v>
      </c>
      <c r="R476" s="138">
        <f t="shared" si="245"/>
        <v>200000</v>
      </c>
    </row>
    <row r="477" spans="1:18">
      <c r="A477" s="2" t="s">
        <v>80</v>
      </c>
      <c r="B477" s="102" t="s">
        <v>402</v>
      </c>
      <c r="C477" s="102" t="s">
        <v>13</v>
      </c>
      <c r="D477" s="102" t="s">
        <v>30</v>
      </c>
      <c r="E477" s="102" t="s">
        <v>214</v>
      </c>
      <c r="F477" s="102" t="s">
        <v>70</v>
      </c>
      <c r="G477" s="102" t="s">
        <v>148</v>
      </c>
      <c r="H477" s="102" t="s">
        <v>185</v>
      </c>
      <c r="I477" s="103" t="s">
        <v>77</v>
      </c>
      <c r="J477" s="138">
        <f t="shared" si="276"/>
        <v>200000</v>
      </c>
      <c r="K477" s="138">
        <f t="shared" si="276"/>
        <v>200000</v>
      </c>
      <c r="L477" s="138">
        <f t="shared" si="276"/>
        <v>200000</v>
      </c>
      <c r="M477" s="138">
        <f t="shared" si="276"/>
        <v>0</v>
      </c>
      <c r="N477" s="138">
        <f t="shared" si="276"/>
        <v>0</v>
      </c>
      <c r="O477" s="138">
        <f t="shared" si="276"/>
        <v>0</v>
      </c>
      <c r="P477" s="138">
        <f t="shared" si="243"/>
        <v>200000</v>
      </c>
      <c r="Q477" s="138">
        <f t="shared" si="244"/>
        <v>200000</v>
      </c>
      <c r="R477" s="138">
        <f t="shared" si="245"/>
        <v>200000</v>
      </c>
    </row>
    <row r="478" spans="1:18">
      <c r="A478" s="2" t="s">
        <v>105</v>
      </c>
      <c r="B478" s="102" t="s">
        <v>402</v>
      </c>
      <c r="C478" s="102" t="s">
        <v>13</v>
      </c>
      <c r="D478" s="102" t="s">
        <v>30</v>
      </c>
      <c r="E478" s="102" t="s">
        <v>214</v>
      </c>
      <c r="F478" s="102" t="s">
        <v>70</v>
      </c>
      <c r="G478" s="102" t="s">
        <v>148</v>
      </c>
      <c r="H478" s="102" t="s">
        <v>185</v>
      </c>
      <c r="I478" s="103" t="s">
        <v>104</v>
      </c>
      <c r="J478" s="138">
        <v>200000</v>
      </c>
      <c r="K478" s="138">
        <v>200000</v>
      </c>
      <c r="L478" s="138">
        <v>200000</v>
      </c>
      <c r="M478" s="138"/>
      <c r="N478" s="138"/>
      <c r="O478" s="138"/>
      <c r="P478" s="138">
        <f t="shared" si="243"/>
        <v>200000</v>
      </c>
      <c r="Q478" s="138">
        <f t="shared" si="244"/>
        <v>200000</v>
      </c>
      <c r="R478" s="138">
        <f t="shared" si="245"/>
        <v>200000</v>
      </c>
    </row>
    <row r="479" spans="1:18" ht="25.5">
      <c r="A479" s="7" t="s">
        <v>312</v>
      </c>
      <c r="B479" s="102" t="s">
        <v>402</v>
      </c>
      <c r="C479" s="102" t="s">
        <v>13</v>
      </c>
      <c r="D479" s="102" t="s">
        <v>30</v>
      </c>
      <c r="E479" s="102" t="s">
        <v>214</v>
      </c>
      <c r="F479" s="102" t="s">
        <v>70</v>
      </c>
      <c r="G479" s="102" t="s">
        <v>148</v>
      </c>
      <c r="H479" s="102" t="s">
        <v>311</v>
      </c>
      <c r="I479" s="103"/>
      <c r="J479" s="138">
        <f>J480</f>
        <v>1364000</v>
      </c>
      <c r="K479" s="138">
        <f t="shared" ref="K479:O480" si="283">K480</f>
        <v>0</v>
      </c>
      <c r="L479" s="138">
        <f t="shared" si="283"/>
        <v>0</v>
      </c>
      <c r="M479" s="138">
        <f t="shared" si="283"/>
        <v>0</v>
      </c>
      <c r="N479" s="138">
        <f t="shared" si="283"/>
        <v>0</v>
      </c>
      <c r="O479" s="138">
        <f t="shared" si="283"/>
        <v>0</v>
      </c>
      <c r="P479" s="138">
        <f t="shared" si="243"/>
        <v>1364000</v>
      </c>
      <c r="Q479" s="138">
        <f t="shared" si="244"/>
        <v>0</v>
      </c>
      <c r="R479" s="138">
        <f t="shared" si="245"/>
        <v>0</v>
      </c>
    </row>
    <row r="480" spans="1:18" ht="25.5">
      <c r="A480" s="80" t="s">
        <v>260</v>
      </c>
      <c r="B480" s="102" t="s">
        <v>402</v>
      </c>
      <c r="C480" s="102" t="s">
        <v>13</v>
      </c>
      <c r="D480" s="102" t="s">
        <v>30</v>
      </c>
      <c r="E480" s="102" t="s">
        <v>214</v>
      </c>
      <c r="F480" s="102" t="s">
        <v>70</v>
      </c>
      <c r="G480" s="102" t="s">
        <v>148</v>
      </c>
      <c r="H480" s="102" t="s">
        <v>311</v>
      </c>
      <c r="I480" s="103" t="s">
        <v>94</v>
      </c>
      <c r="J480" s="138">
        <f>J481</f>
        <v>1364000</v>
      </c>
      <c r="K480" s="138">
        <f t="shared" si="283"/>
        <v>0</v>
      </c>
      <c r="L480" s="138">
        <f t="shared" si="283"/>
        <v>0</v>
      </c>
      <c r="M480" s="138">
        <f t="shared" si="283"/>
        <v>0</v>
      </c>
      <c r="N480" s="138">
        <f t="shared" si="283"/>
        <v>0</v>
      </c>
      <c r="O480" s="138">
        <f t="shared" si="283"/>
        <v>0</v>
      </c>
      <c r="P480" s="138">
        <f t="shared" si="243"/>
        <v>1364000</v>
      </c>
      <c r="Q480" s="138">
        <f t="shared" si="244"/>
        <v>0</v>
      </c>
      <c r="R480" s="138">
        <f t="shared" si="245"/>
        <v>0</v>
      </c>
    </row>
    <row r="481" spans="1:18" ht="25.5">
      <c r="A481" s="78" t="s">
        <v>98</v>
      </c>
      <c r="B481" s="102" t="s">
        <v>402</v>
      </c>
      <c r="C481" s="102" t="s">
        <v>13</v>
      </c>
      <c r="D481" s="102" t="s">
        <v>30</v>
      </c>
      <c r="E481" s="102" t="s">
        <v>214</v>
      </c>
      <c r="F481" s="102" t="s">
        <v>70</v>
      </c>
      <c r="G481" s="102" t="s">
        <v>148</v>
      </c>
      <c r="H481" s="102" t="s">
        <v>311</v>
      </c>
      <c r="I481" s="103" t="s">
        <v>95</v>
      </c>
      <c r="J481" s="138">
        <v>1364000</v>
      </c>
      <c r="K481" s="138"/>
      <c r="L481" s="138"/>
      <c r="M481" s="138"/>
      <c r="N481" s="138"/>
      <c r="O481" s="138"/>
      <c r="P481" s="138">
        <f t="shared" si="243"/>
        <v>1364000</v>
      </c>
      <c r="Q481" s="138">
        <f t="shared" si="244"/>
        <v>0</v>
      </c>
      <c r="R481" s="138">
        <f t="shared" si="245"/>
        <v>0</v>
      </c>
    </row>
    <row r="482" spans="1:18">
      <c r="A482" s="140"/>
      <c r="B482" s="102"/>
      <c r="C482" s="102"/>
      <c r="D482" s="102"/>
      <c r="E482" s="102"/>
      <c r="F482" s="102"/>
      <c r="G482" s="102"/>
      <c r="H482" s="102"/>
      <c r="I482" s="103"/>
      <c r="J482" s="138"/>
      <c r="K482" s="138"/>
      <c r="L482" s="138"/>
      <c r="M482" s="138"/>
      <c r="N482" s="138"/>
      <c r="O482" s="138"/>
      <c r="P482" s="138"/>
      <c r="Q482" s="138"/>
      <c r="R482" s="138"/>
    </row>
    <row r="483" spans="1:18" ht="25.5">
      <c r="A483" s="100" t="s">
        <v>192</v>
      </c>
      <c r="B483" s="101" t="s">
        <v>402</v>
      </c>
      <c r="C483" s="101" t="s">
        <v>13</v>
      </c>
      <c r="D483" s="101" t="s">
        <v>29</v>
      </c>
      <c r="E483" s="102"/>
      <c r="F483" s="102"/>
      <c r="G483" s="102"/>
      <c r="H483" s="102"/>
      <c r="I483" s="103"/>
      <c r="J483" s="121">
        <f>J484+J488</f>
        <v>70000</v>
      </c>
      <c r="K483" s="121">
        <f t="shared" ref="K483:L483" si="284">K484+K488</f>
        <v>70000</v>
      </c>
      <c r="L483" s="121">
        <f t="shared" si="284"/>
        <v>70000</v>
      </c>
      <c r="M483" s="121">
        <f t="shared" ref="M483:O483" si="285">M484+M488</f>
        <v>0</v>
      </c>
      <c r="N483" s="121">
        <f t="shared" si="285"/>
        <v>0</v>
      </c>
      <c r="O483" s="121">
        <f t="shared" si="285"/>
        <v>0</v>
      </c>
      <c r="P483" s="121">
        <f t="shared" ref="P483:P549" si="286">J483+M483</f>
        <v>70000</v>
      </c>
      <c r="Q483" s="121">
        <f t="shared" ref="Q483:Q549" si="287">K483+N483</f>
        <v>70000</v>
      </c>
      <c r="R483" s="121">
        <f t="shared" ref="R483:R549" si="288">L483+O483</f>
        <v>70000</v>
      </c>
    </row>
    <row r="484" spans="1:18" ht="38.25">
      <c r="A484" s="78" t="s">
        <v>342</v>
      </c>
      <c r="B484" s="3" t="s">
        <v>402</v>
      </c>
      <c r="C484" s="3" t="s">
        <v>13</v>
      </c>
      <c r="D484" s="3" t="s">
        <v>29</v>
      </c>
      <c r="E484" s="3" t="s">
        <v>29</v>
      </c>
      <c r="F484" s="3" t="s">
        <v>70</v>
      </c>
      <c r="G484" s="3" t="s">
        <v>148</v>
      </c>
      <c r="H484" s="3" t="s">
        <v>149</v>
      </c>
      <c r="I484" s="16"/>
      <c r="J484" s="167">
        <f>J485</f>
        <v>20000</v>
      </c>
      <c r="K484" s="167">
        <f t="shared" ref="K484:O484" si="289">K485</f>
        <v>20000</v>
      </c>
      <c r="L484" s="167">
        <f t="shared" si="289"/>
        <v>20000</v>
      </c>
      <c r="M484" s="167">
        <f t="shared" si="289"/>
        <v>0</v>
      </c>
      <c r="N484" s="167">
        <f t="shared" si="289"/>
        <v>0</v>
      </c>
      <c r="O484" s="167">
        <f t="shared" si="289"/>
        <v>0</v>
      </c>
      <c r="P484" s="167">
        <f t="shared" si="286"/>
        <v>20000</v>
      </c>
      <c r="Q484" s="167">
        <f t="shared" si="287"/>
        <v>20000</v>
      </c>
      <c r="R484" s="167">
        <f t="shared" si="288"/>
        <v>20000</v>
      </c>
    </row>
    <row r="485" spans="1:18" ht="25.5">
      <c r="A485" s="78" t="s">
        <v>343</v>
      </c>
      <c r="B485" s="3" t="s">
        <v>402</v>
      </c>
      <c r="C485" s="3" t="s">
        <v>13</v>
      </c>
      <c r="D485" s="3" t="s">
        <v>29</v>
      </c>
      <c r="E485" s="3" t="s">
        <v>29</v>
      </c>
      <c r="F485" s="3" t="s">
        <v>70</v>
      </c>
      <c r="G485" s="3" t="s">
        <v>148</v>
      </c>
      <c r="H485" s="3" t="s">
        <v>341</v>
      </c>
      <c r="I485" s="16"/>
      <c r="J485" s="167">
        <f t="shared" ref="J485:O486" si="290">J486</f>
        <v>20000</v>
      </c>
      <c r="K485" s="167">
        <f t="shared" si="290"/>
        <v>20000</v>
      </c>
      <c r="L485" s="167">
        <f t="shared" si="290"/>
        <v>20000</v>
      </c>
      <c r="M485" s="167">
        <f t="shared" si="290"/>
        <v>0</v>
      </c>
      <c r="N485" s="167">
        <f t="shared" si="290"/>
        <v>0</v>
      </c>
      <c r="O485" s="167">
        <f t="shared" si="290"/>
        <v>0</v>
      </c>
      <c r="P485" s="167">
        <f t="shared" si="286"/>
        <v>20000</v>
      </c>
      <c r="Q485" s="167">
        <f t="shared" si="287"/>
        <v>20000</v>
      </c>
      <c r="R485" s="167">
        <f t="shared" si="288"/>
        <v>20000</v>
      </c>
    </row>
    <row r="486" spans="1:18" ht="25.5">
      <c r="A486" s="80" t="s">
        <v>260</v>
      </c>
      <c r="B486" s="3" t="s">
        <v>402</v>
      </c>
      <c r="C486" s="3" t="s">
        <v>13</v>
      </c>
      <c r="D486" s="3" t="s">
        <v>29</v>
      </c>
      <c r="E486" s="3" t="s">
        <v>29</v>
      </c>
      <c r="F486" s="3" t="s">
        <v>70</v>
      </c>
      <c r="G486" s="3" t="s">
        <v>148</v>
      </c>
      <c r="H486" s="3" t="s">
        <v>341</v>
      </c>
      <c r="I486" s="16" t="s">
        <v>94</v>
      </c>
      <c r="J486" s="167">
        <f t="shared" si="290"/>
        <v>20000</v>
      </c>
      <c r="K486" s="167">
        <f t="shared" si="290"/>
        <v>20000</v>
      </c>
      <c r="L486" s="167">
        <f t="shared" si="290"/>
        <v>20000</v>
      </c>
      <c r="M486" s="167">
        <f t="shared" si="290"/>
        <v>0</v>
      </c>
      <c r="N486" s="167">
        <f t="shared" si="290"/>
        <v>0</v>
      </c>
      <c r="O486" s="167">
        <f t="shared" si="290"/>
        <v>0</v>
      </c>
      <c r="P486" s="167">
        <f t="shared" si="286"/>
        <v>20000</v>
      </c>
      <c r="Q486" s="167">
        <f t="shared" si="287"/>
        <v>20000</v>
      </c>
      <c r="R486" s="167">
        <f t="shared" si="288"/>
        <v>20000</v>
      </c>
    </row>
    <row r="487" spans="1:18" ht="25.5">
      <c r="A487" s="78" t="s">
        <v>98</v>
      </c>
      <c r="B487" s="3" t="s">
        <v>402</v>
      </c>
      <c r="C487" s="3" t="s">
        <v>13</v>
      </c>
      <c r="D487" s="3" t="s">
        <v>29</v>
      </c>
      <c r="E487" s="3" t="s">
        <v>29</v>
      </c>
      <c r="F487" s="3" t="s">
        <v>70</v>
      </c>
      <c r="G487" s="3" t="s">
        <v>148</v>
      </c>
      <c r="H487" s="3" t="s">
        <v>341</v>
      </c>
      <c r="I487" s="16" t="s">
        <v>95</v>
      </c>
      <c r="J487" s="167">
        <v>20000</v>
      </c>
      <c r="K487" s="167">
        <v>20000</v>
      </c>
      <c r="L487" s="84">
        <v>20000</v>
      </c>
      <c r="M487" s="167"/>
      <c r="N487" s="167"/>
      <c r="O487" s="84"/>
      <c r="P487" s="167">
        <f t="shared" si="286"/>
        <v>20000</v>
      </c>
      <c r="Q487" s="167">
        <f t="shared" si="287"/>
        <v>20000</v>
      </c>
      <c r="R487" s="84">
        <f t="shared" si="288"/>
        <v>20000</v>
      </c>
    </row>
    <row r="488" spans="1:18" ht="25.5">
      <c r="A488" s="83" t="s">
        <v>291</v>
      </c>
      <c r="B488" s="3" t="s">
        <v>402</v>
      </c>
      <c r="C488" s="3" t="s">
        <v>13</v>
      </c>
      <c r="D488" s="3" t="s">
        <v>29</v>
      </c>
      <c r="E488" s="1" t="s">
        <v>194</v>
      </c>
      <c r="F488" s="1" t="s">
        <v>70</v>
      </c>
      <c r="G488" s="1" t="s">
        <v>148</v>
      </c>
      <c r="H488" s="3" t="s">
        <v>149</v>
      </c>
      <c r="I488" s="16"/>
      <c r="J488" s="84">
        <f t="shared" ref="J488:O492" si="291">J489</f>
        <v>50000</v>
      </c>
      <c r="K488" s="84">
        <f t="shared" si="291"/>
        <v>50000</v>
      </c>
      <c r="L488" s="84">
        <f t="shared" si="291"/>
        <v>50000</v>
      </c>
      <c r="M488" s="84">
        <f t="shared" si="291"/>
        <v>0</v>
      </c>
      <c r="N488" s="84">
        <f t="shared" si="291"/>
        <v>0</v>
      </c>
      <c r="O488" s="84">
        <f t="shared" si="291"/>
        <v>0</v>
      </c>
      <c r="P488" s="84">
        <f t="shared" si="286"/>
        <v>50000</v>
      </c>
      <c r="Q488" s="84">
        <f t="shared" si="287"/>
        <v>50000</v>
      </c>
      <c r="R488" s="84">
        <f t="shared" si="288"/>
        <v>50000</v>
      </c>
    </row>
    <row r="489" spans="1:18">
      <c r="A489" s="83" t="s">
        <v>340</v>
      </c>
      <c r="B489" s="3" t="s">
        <v>402</v>
      </c>
      <c r="C489" s="3" t="s">
        <v>13</v>
      </c>
      <c r="D489" s="3" t="s">
        <v>29</v>
      </c>
      <c r="E489" s="1" t="s">
        <v>194</v>
      </c>
      <c r="F489" s="1" t="s">
        <v>70</v>
      </c>
      <c r="G489" s="1" t="s">
        <v>148</v>
      </c>
      <c r="H489" s="3" t="s">
        <v>195</v>
      </c>
      <c r="I489" s="16"/>
      <c r="J489" s="84">
        <f>J490+J492</f>
        <v>50000</v>
      </c>
      <c r="K489" s="84">
        <f t="shared" ref="K489:L489" si="292">K490+K492</f>
        <v>50000</v>
      </c>
      <c r="L489" s="84">
        <f t="shared" si="292"/>
        <v>50000</v>
      </c>
      <c r="M489" s="84">
        <f t="shared" ref="M489:O489" si="293">M490+M492</f>
        <v>0</v>
      </c>
      <c r="N489" s="84">
        <f t="shared" si="293"/>
        <v>0</v>
      </c>
      <c r="O489" s="84">
        <f t="shared" si="293"/>
        <v>0</v>
      </c>
      <c r="P489" s="84">
        <f t="shared" si="286"/>
        <v>50000</v>
      </c>
      <c r="Q489" s="84">
        <f t="shared" si="287"/>
        <v>50000</v>
      </c>
      <c r="R489" s="84">
        <f t="shared" si="288"/>
        <v>50000</v>
      </c>
    </row>
    <row r="490" spans="1:18" ht="25.5">
      <c r="A490" s="80" t="s">
        <v>260</v>
      </c>
      <c r="B490" s="3" t="s">
        <v>402</v>
      </c>
      <c r="C490" s="3" t="s">
        <v>13</v>
      </c>
      <c r="D490" s="3" t="s">
        <v>29</v>
      </c>
      <c r="E490" s="1" t="s">
        <v>194</v>
      </c>
      <c r="F490" s="1" t="s">
        <v>70</v>
      </c>
      <c r="G490" s="1" t="s">
        <v>148</v>
      </c>
      <c r="H490" s="3" t="s">
        <v>195</v>
      </c>
      <c r="I490" s="16" t="s">
        <v>94</v>
      </c>
      <c r="J490" s="84">
        <f>J491</f>
        <v>30000</v>
      </c>
      <c r="K490" s="84">
        <f t="shared" ref="K490:O490" si="294">K491</f>
        <v>30000</v>
      </c>
      <c r="L490" s="84">
        <f t="shared" si="294"/>
        <v>30000</v>
      </c>
      <c r="M490" s="84">
        <f t="shared" si="294"/>
        <v>0</v>
      </c>
      <c r="N490" s="84">
        <f t="shared" si="294"/>
        <v>0</v>
      </c>
      <c r="O490" s="84">
        <f t="shared" si="294"/>
        <v>0</v>
      </c>
      <c r="P490" s="84">
        <f t="shared" si="286"/>
        <v>30000</v>
      </c>
      <c r="Q490" s="84">
        <f t="shared" si="287"/>
        <v>30000</v>
      </c>
      <c r="R490" s="84">
        <f t="shared" si="288"/>
        <v>30000</v>
      </c>
    </row>
    <row r="491" spans="1:18" ht="25.5">
      <c r="A491" s="78" t="s">
        <v>98</v>
      </c>
      <c r="B491" s="3" t="s">
        <v>402</v>
      </c>
      <c r="C491" s="3" t="s">
        <v>13</v>
      </c>
      <c r="D491" s="3" t="s">
        <v>29</v>
      </c>
      <c r="E491" s="1" t="s">
        <v>194</v>
      </c>
      <c r="F491" s="1" t="s">
        <v>70</v>
      </c>
      <c r="G491" s="1" t="s">
        <v>148</v>
      </c>
      <c r="H491" s="3" t="s">
        <v>195</v>
      </c>
      <c r="I491" s="16" t="s">
        <v>95</v>
      </c>
      <c r="J491" s="84">
        <v>30000</v>
      </c>
      <c r="K491" s="84">
        <v>30000</v>
      </c>
      <c r="L491" s="84">
        <v>30000</v>
      </c>
      <c r="M491" s="84"/>
      <c r="N491" s="84"/>
      <c r="O491" s="84"/>
      <c r="P491" s="84">
        <f t="shared" si="286"/>
        <v>30000</v>
      </c>
      <c r="Q491" s="84">
        <f t="shared" si="287"/>
        <v>30000</v>
      </c>
      <c r="R491" s="84">
        <f t="shared" si="288"/>
        <v>30000</v>
      </c>
    </row>
    <row r="492" spans="1:18">
      <c r="A492" s="9" t="s">
        <v>100</v>
      </c>
      <c r="B492" s="3" t="s">
        <v>402</v>
      </c>
      <c r="C492" s="3" t="s">
        <v>13</v>
      </c>
      <c r="D492" s="3" t="s">
        <v>29</v>
      </c>
      <c r="E492" s="1" t="s">
        <v>194</v>
      </c>
      <c r="F492" s="1" t="s">
        <v>70</v>
      </c>
      <c r="G492" s="1" t="s">
        <v>148</v>
      </c>
      <c r="H492" s="3" t="s">
        <v>195</v>
      </c>
      <c r="I492" s="16" t="s">
        <v>99</v>
      </c>
      <c r="J492" s="84">
        <f t="shared" si="291"/>
        <v>20000</v>
      </c>
      <c r="K492" s="84">
        <f t="shared" si="291"/>
        <v>20000</v>
      </c>
      <c r="L492" s="84">
        <f t="shared" si="291"/>
        <v>20000</v>
      </c>
      <c r="M492" s="84">
        <f t="shared" si="291"/>
        <v>0</v>
      </c>
      <c r="N492" s="84">
        <f t="shared" si="291"/>
        <v>0</v>
      </c>
      <c r="O492" s="84">
        <f t="shared" si="291"/>
        <v>0</v>
      </c>
      <c r="P492" s="84">
        <f t="shared" si="286"/>
        <v>20000</v>
      </c>
      <c r="Q492" s="84">
        <f t="shared" si="287"/>
        <v>20000</v>
      </c>
      <c r="R492" s="84">
        <f t="shared" si="288"/>
        <v>20000</v>
      </c>
    </row>
    <row r="493" spans="1:18">
      <c r="A493" s="83" t="s">
        <v>117</v>
      </c>
      <c r="B493" s="3" t="s">
        <v>402</v>
      </c>
      <c r="C493" s="3" t="s">
        <v>13</v>
      </c>
      <c r="D493" s="3" t="s">
        <v>29</v>
      </c>
      <c r="E493" s="1" t="s">
        <v>194</v>
      </c>
      <c r="F493" s="1" t="s">
        <v>70</v>
      </c>
      <c r="G493" s="1" t="s">
        <v>148</v>
      </c>
      <c r="H493" s="3" t="s">
        <v>195</v>
      </c>
      <c r="I493" s="16" t="s">
        <v>116</v>
      </c>
      <c r="J493" s="84">
        <v>20000</v>
      </c>
      <c r="K493" s="84">
        <v>20000</v>
      </c>
      <c r="L493" s="84">
        <v>20000</v>
      </c>
      <c r="M493" s="84"/>
      <c r="N493" s="84"/>
      <c r="O493" s="84"/>
      <c r="P493" s="84">
        <f t="shared" si="286"/>
        <v>20000</v>
      </c>
      <c r="Q493" s="84">
        <f t="shared" si="287"/>
        <v>20000</v>
      </c>
      <c r="R493" s="84">
        <f t="shared" si="288"/>
        <v>20000</v>
      </c>
    </row>
    <row r="494" spans="1:18">
      <c r="A494" s="83"/>
      <c r="B494" s="3"/>
      <c r="C494" s="3"/>
      <c r="D494" s="3"/>
      <c r="E494" s="1"/>
      <c r="F494" s="1"/>
      <c r="G494" s="1"/>
      <c r="H494" s="3"/>
      <c r="I494" s="16"/>
      <c r="J494" s="84"/>
      <c r="K494" s="84"/>
      <c r="L494" s="84"/>
      <c r="M494" s="84"/>
      <c r="N494" s="84"/>
      <c r="O494" s="84"/>
      <c r="P494" s="84"/>
      <c r="Q494" s="84"/>
      <c r="R494" s="84"/>
    </row>
    <row r="495" spans="1:18" ht="15.75">
      <c r="A495" s="25" t="s">
        <v>15</v>
      </c>
      <c r="B495" s="28" t="s">
        <v>402</v>
      </c>
      <c r="C495" s="28" t="s">
        <v>16</v>
      </c>
      <c r="D495" s="3"/>
      <c r="E495" s="3"/>
      <c r="F495" s="3"/>
      <c r="G495" s="3"/>
      <c r="H495" s="3"/>
      <c r="I495" s="16"/>
      <c r="J495" s="111">
        <f t="shared" ref="J495:O495" si="295">J496+J509+J529+J553</f>
        <v>60960989</v>
      </c>
      <c r="K495" s="111">
        <f t="shared" si="295"/>
        <v>32565565.830000002</v>
      </c>
      <c r="L495" s="111">
        <f t="shared" si="295"/>
        <v>33887643.159999996</v>
      </c>
      <c r="M495" s="111">
        <f t="shared" si="295"/>
        <v>13136625.350000001</v>
      </c>
      <c r="N495" s="111">
        <f t="shared" si="295"/>
        <v>0</v>
      </c>
      <c r="O495" s="111">
        <f t="shared" si="295"/>
        <v>0</v>
      </c>
      <c r="P495" s="111">
        <f t="shared" si="286"/>
        <v>74097614.349999994</v>
      </c>
      <c r="Q495" s="111">
        <f t="shared" si="287"/>
        <v>32565565.830000002</v>
      </c>
      <c r="R495" s="111">
        <f t="shared" si="288"/>
        <v>33887643.159999996</v>
      </c>
    </row>
    <row r="496" spans="1:18">
      <c r="A496" s="4" t="s">
        <v>36</v>
      </c>
      <c r="B496" s="14" t="s">
        <v>402</v>
      </c>
      <c r="C496" s="14" t="s">
        <v>16</v>
      </c>
      <c r="D496" s="14" t="s">
        <v>18</v>
      </c>
      <c r="E496" s="14"/>
      <c r="F496" s="14"/>
      <c r="G496" s="14"/>
      <c r="H496" s="1"/>
      <c r="I496" s="13"/>
      <c r="J496" s="112">
        <f>J497+J504</f>
        <v>575200</v>
      </c>
      <c r="K496" s="112">
        <f t="shared" ref="K496:L496" si="296">K497+K504</f>
        <v>580479.06999999995</v>
      </c>
      <c r="L496" s="112">
        <f t="shared" si="296"/>
        <v>1035783.86</v>
      </c>
      <c r="M496" s="112">
        <f t="shared" ref="M496:O496" si="297">M497+M504</f>
        <v>0</v>
      </c>
      <c r="N496" s="112">
        <f t="shared" si="297"/>
        <v>0</v>
      </c>
      <c r="O496" s="112">
        <f t="shared" si="297"/>
        <v>0</v>
      </c>
      <c r="P496" s="112">
        <f t="shared" si="286"/>
        <v>575200</v>
      </c>
      <c r="Q496" s="112">
        <f t="shared" si="287"/>
        <v>580479.06999999995</v>
      </c>
      <c r="R496" s="112">
        <f t="shared" si="288"/>
        <v>1035783.86</v>
      </c>
    </row>
    <row r="497" spans="1:18" ht="38.25">
      <c r="A497" s="2" t="s">
        <v>288</v>
      </c>
      <c r="B497" s="1" t="s">
        <v>402</v>
      </c>
      <c r="C497" s="1" t="s">
        <v>16</v>
      </c>
      <c r="D497" s="1" t="s">
        <v>18</v>
      </c>
      <c r="E497" s="1" t="s">
        <v>13</v>
      </c>
      <c r="F497" s="1" t="s">
        <v>70</v>
      </c>
      <c r="G497" s="1" t="s">
        <v>148</v>
      </c>
      <c r="H497" s="1" t="s">
        <v>149</v>
      </c>
      <c r="I497" s="13"/>
      <c r="J497" s="113">
        <f>J498+J501</f>
        <v>50000</v>
      </c>
      <c r="K497" s="113">
        <f t="shared" ref="K497:L497" si="298">K498+K501</f>
        <v>50000</v>
      </c>
      <c r="L497" s="113">
        <f t="shared" si="298"/>
        <v>500000</v>
      </c>
      <c r="M497" s="113">
        <f t="shared" ref="M497:O497" si="299">M498+M501</f>
        <v>0</v>
      </c>
      <c r="N497" s="113">
        <f t="shared" si="299"/>
        <v>0</v>
      </c>
      <c r="O497" s="113">
        <f t="shared" si="299"/>
        <v>0</v>
      </c>
      <c r="P497" s="113">
        <f t="shared" si="286"/>
        <v>50000</v>
      </c>
      <c r="Q497" s="113">
        <f t="shared" si="287"/>
        <v>50000</v>
      </c>
      <c r="R497" s="113">
        <f t="shared" si="288"/>
        <v>500000</v>
      </c>
    </row>
    <row r="498" spans="1:18">
      <c r="A498" s="2" t="s">
        <v>344</v>
      </c>
      <c r="B498" s="1" t="s">
        <v>402</v>
      </c>
      <c r="C498" s="1" t="s">
        <v>16</v>
      </c>
      <c r="D498" s="1" t="s">
        <v>18</v>
      </c>
      <c r="E498" s="1" t="s">
        <v>13</v>
      </c>
      <c r="F498" s="1" t="s">
        <v>70</v>
      </c>
      <c r="G498" s="1" t="s">
        <v>148</v>
      </c>
      <c r="H498" s="18" t="s">
        <v>178</v>
      </c>
      <c r="I498" s="13"/>
      <c r="J498" s="84">
        <f>J499</f>
        <v>50000</v>
      </c>
      <c r="K498" s="84">
        <f t="shared" ref="K498:O499" si="300">K499</f>
        <v>50000</v>
      </c>
      <c r="L498" s="84">
        <f t="shared" si="300"/>
        <v>50000</v>
      </c>
      <c r="M498" s="84">
        <f t="shared" si="300"/>
        <v>0</v>
      </c>
      <c r="N498" s="84">
        <f t="shared" si="300"/>
        <v>0</v>
      </c>
      <c r="O498" s="84">
        <f t="shared" si="300"/>
        <v>0</v>
      </c>
      <c r="P498" s="84">
        <f t="shared" si="286"/>
        <v>50000</v>
      </c>
      <c r="Q498" s="84">
        <f t="shared" si="287"/>
        <v>50000</v>
      </c>
      <c r="R498" s="84">
        <f t="shared" si="288"/>
        <v>50000</v>
      </c>
    </row>
    <row r="499" spans="1:18" ht="25.5">
      <c r="A499" s="80" t="s">
        <v>260</v>
      </c>
      <c r="B499" s="1" t="s">
        <v>402</v>
      </c>
      <c r="C499" s="1" t="s">
        <v>16</v>
      </c>
      <c r="D499" s="1" t="s">
        <v>18</v>
      </c>
      <c r="E499" s="1" t="s">
        <v>13</v>
      </c>
      <c r="F499" s="1" t="s">
        <v>70</v>
      </c>
      <c r="G499" s="1" t="s">
        <v>148</v>
      </c>
      <c r="H499" s="18" t="s">
        <v>178</v>
      </c>
      <c r="I499" s="13" t="s">
        <v>94</v>
      </c>
      <c r="J499" s="84">
        <f>J500</f>
        <v>50000</v>
      </c>
      <c r="K499" s="84">
        <f t="shared" si="300"/>
        <v>50000</v>
      </c>
      <c r="L499" s="84">
        <f t="shared" si="300"/>
        <v>50000</v>
      </c>
      <c r="M499" s="84">
        <f t="shared" si="300"/>
        <v>0</v>
      </c>
      <c r="N499" s="84">
        <f t="shared" si="300"/>
        <v>0</v>
      </c>
      <c r="O499" s="84">
        <f t="shared" si="300"/>
        <v>0</v>
      </c>
      <c r="P499" s="84">
        <f t="shared" si="286"/>
        <v>50000</v>
      </c>
      <c r="Q499" s="84">
        <f t="shared" si="287"/>
        <v>50000</v>
      </c>
      <c r="R499" s="84">
        <f t="shared" si="288"/>
        <v>50000</v>
      </c>
    </row>
    <row r="500" spans="1:18" ht="25.5">
      <c r="A500" s="78" t="s">
        <v>98</v>
      </c>
      <c r="B500" s="1" t="s">
        <v>402</v>
      </c>
      <c r="C500" s="1" t="s">
        <v>16</v>
      </c>
      <c r="D500" s="1" t="s">
        <v>18</v>
      </c>
      <c r="E500" s="1" t="s">
        <v>13</v>
      </c>
      <c r="F500" s="1" t="s">
        <v>70</v>
      </c>
      <c r="G500" s="1" t="s">
        <v>148</v>
      </c>
      <c r="H500" s="18" t="s">
        <v>178</v>
      </c>
      <c r="I500" s="13" t="s">
        <v>95</v>
      </c>
      <c r="J500" s="84">
        <v>50000</v>
      </c>
      <c r="K500" s="84">
        <v>50000</v>
      </c>
      <c r="L500" s="84">
        <v>50000</v>
      </c>
      <c r="M500" s="84"/>
      <c r="N500" s="84"/>
      <c r="O500" s="84"/>
      <c r="P500" s="84">
        <f t="shared" si="286"/>
        <v>50000</v>
      </c>
      <c r="Q500" s="84">
        <f t="shared" si="287"/>
        <v>50000</v>
      </c>
      <c r="R500" s="84">
        <f t="shared" si="288"/>
        <v>50000</v>
      </c>
    </row>
    <row r="501" spans="1:18" ht="25.5">
      <c r="A501" s="78" t="s">
        <v>388</v>
      </c>
      <c r="B501" s="1" t="s">
        <v>402</v>
      </c>
      <c r="C501" s="1" t="s">
        <v>16</v>
      </c>
      <c r="D501" s="1" t="s">
        <v>18</v>
      </c>
      <c r="E501" s="1" t="s">
        <v>13</v>
      </c>
      <c r="F501" s="1" t="s">
        <v>70</v>
      </c>
      <c r="G501" s="1" t="s">
        <v>148</v>
      </c>
      <c r="H501" s="18" t="s">
        <v>387</v>
      </c>
      <c r="I501" s="13"/>
      <c r="J501" s="84">
        <f>J502</f>
        <v>0</v>
      </c>
      <c r="K501" s="84">
        <f t="shared" ref="K501:O502" si="301">K502</f>
        <v>0</v>
      </c>
      <c r="L501" s="84">
        <f t="shared" si="301"/>
        <v>450000</v>
      </c>
      <c r="M501" s="84">
        <f t="shared" si="301"/>
        <v>0</v>
      </c>
      <c r="N501" s="84">
        <f t="shared" si="301"/>
        <v>0</v>
      </c>
      <c r="O501" s="84">
        <f t="shared" si="301"/>
        <v>0</v>
      </c>
      <c r="P501" s="84">
        <f t="shared" si="286"/>
        <v>0</v>
      </c>
      <c r="Q501" s="84">
        <f t="shared" si="287"/>
        <v>0</v>
      </c>
      <c r="R501" s="84">
        <f t="shared" si="288"/>
        <v>450000</v>
      </c>
    </row>
    <row r="502" spans="1:18" ht="25.5">
      <c r="A502" s="80" t="s">
        <v>260</v>
      </c>
      <c r="B502" s="1" t="s">
        <v>402</v>
      </c>
      <c r="C502" s="1" t="s">
        <v>16</v>
      </c>
      <c r="D502" s="1" t="s">
        <v>18</v>
      </c>
      <c r="E502" s="1" t="s">
        <v>13</v>
      </c>
      <c r="F502" s="1" t="s">
        <v>70</v>
      </c>
      <c r="G502" s="1" t="s">
        <v>148</v>
      </c>
      <c r="H502" s="18" t="s">
        <v>387</v>
      </c>
      <c r="I502" s="13" t="s">
        <v>94</v>
      </c>
      <c r="J502" s="84">
        <f>J503</f>
        <v>0</v>
      </c>
      <c r="K502" s="84">
        <f t="shared" si="301"/>
        <v>0</v>
      </c>
      <c r="L502" s="84">
        <f t="shared" si="301"/>
        <v>450000</v>
      </c>
      <c r="M502" s="84">
        <f t="shared" si="301"/>
        <v>0</v>
      </c>
      <c r="N502" s="84">
        <f t="shared" si="301"/>
        <v>0</v>
      </c>
      <c r="O502" s="84">
        <f t="shared" si="301"/>
        <v>0</v>
      </c>
      <c r="P502" s="84">
        <f t="shared" si="286"/>
        <v>0</v>
      </c>
      <c r="Q502" s="84">
        <f t="shared" si="287"/>
        <v>0</v>
      </c>
      <c r="R502" s="84">
        <f t="shared" si="288"/>
        <v>450000</v>
      </c>
    </row>
    <row r="503" spans="1:18" ht="25.5">
      <c r="A503" s="78" t="s">
        <v>98</v>
      </c>
      <c r="B503" s="1" t="s">
        <v>402</v>
      </c>
      <c r="C503" s="1" t="s">
        <v>16</v>
      </c>
      <c r="D503" s="1" t="s">
        <v>18</v>
      </c>
      <c r="E503" s="1" t="s">
        <v>13</v>
      </c>
      <c r="F503" s="1" t="s">
        <v>70</v>
      </c>
      <c r="G503" s="1" t="s">
        <v>148</v>
      </c>
      <c r="H503" s="18" t="s">
        <v>387</v>
      </c>
      <c r="I503" s="13" t="s">
        <v>95</v>
      </c>
      <c r="J503" s="84"/>
      <c r="K503" s="84"/>
      <c r="L503" s="84">
        <v>450000</v>
      </c>
      <c r="M503" s="84"/>
      <c r="N503" s="84"/>
      <c r="O503" s="84"/>
      <c r="P503" s="84">
        <f t="shared" si="286"/>
        <v>0</v>
      </c>
      <c r="Q503" s="84">
        <f t="shared" si="287"/>
        <v>0</v>
      </c>
      <c r="R503" s="84">
        <f t="shared" si="288"/>
        <v>450000</v>
      </c>
    </row>
    <row r="504" spans="1:18">
      <c r="A504" s="2" t="s">
        <v>83</v>
      </c>
      <c r="B504" s="1" t="s">
        <v>402</v>
      </c>
      <c r="C504" s="1" t="s">
        <v>16</v>
      </c>
      <c r="D504" s="1" t="s">
        <v>18</v>
      </c>
      <c r="E504" s="1" t="s">
        <v>82</v>
      </c>
      <c r="F504" s="1" t="s">
        <v>70</v>
      </c>
      <c r="G504" s="1" t="s">
        <v>148</v>
      </c>
      <c r="H504" s="18" t="s">
        <v>149</v>
      </c>
      <c r="I504" s="13"/>
      <c r="J504" s="84">
        <f>J505</f>
        <v>525200</v>
      </c>
      <c r="K504" s="84">
        <f t="shared" ref="K504:O506" si="302">K505</f>
        <v>530479.06999999995</v>
      </c>
      <c r="L504" s="84">
        <f t="shared" si="302"/>
        <v>535783.86</v>
      </c>
      <c r="M504" s="84">
        <f t="shared" si="302"/>
        <v>0</v>
      </c>
      <c r="N504" s="84">
        <f t="shared" si="302"/>
        <v>0</v>
      </c>
      <c r="O504" s="84">
        <f t="shared" si="302"/>
        <v>0</v>
      </c>
      <c r="P504" s="84">
        <f t="shared" si="286"/>
        <v>525200</v>
      </c>
      <c r="Q504" s="84">
        <f t="shared" si="287"/>
        <v>530479.06999999995</v>
      </c>
      <c r="R504" s="84">
        <f t="shared" si="288"/>
        <v>535783.86</v>
      </c>
    </row>
    <row r="505" spans="1:18">
      <c r="A505" s="2" t="s">
        <v>346</v>
      </c>
      <c r="B505" s="1" t="s">
        <v>402</v>
      </c>
      <c r="C505" s="1" t="s">
        <v>16</v>
      </c>
      <c r="D505" s="1" t="s">
        <v>18</v>
      </c>
      <c r="E505" s="1" t="s">
        <v>82</v>
      </c>
      <c r="F505" s="1" t="s">
        <v>70</v>
      </c>
      <c r="G505" s="1" t="s">
        <v>148</v>
      </c>
      <c r="H505" s="18" t="s">
        <v>345</v>
      </c>
      <c r="I505" s="13"/>
      <c r="J505" s="84">
        <f>J506</f>
        <v>525200</v>
      </c>
      <c r="K505" s="84">
        <f t="shared" si="302"/>
        <v>530479.06999999995</v>
      </c>
      <c r="L505" s="84">
        <f t="shared" si="302"/>
        <v>535783.86</v>
      </c>
      <c r="M505" s="84">
        <f t="shared" si="302"/>
        <v>0</v>
      </c>
      <c r="N505" s="84">
        <f t="shared" si="302"/>
        <v>0</v>
      </c>
      <c r="O505" s="84">
        <f t="shared" si="302"/>
        <v>0</v>
      </c>
      <c r="P505" s="84">
        <f t="shared" si="286"/>
        <v>525200</v>
      </c>
      <c r="Q505" s="84">
        <f t="shared" si="287"/>
        <v>530479.06999999995</v>
      </c>
      <c r="R505" s="84">
        <f t="shared" si="288"/>
        <v>535783.86</v>
      </c>
    </row>
    <row r="506" spans="1:18" ht="25.5">
      <c r="A506" s="7" t="s">
        <v>72</v>
      </c>
      <c r="B506" s="1" t="s">
        <v>402</v>
      </c>
      <c r="C506" s="1" t="s">
        <v>16</v>
      </c>
      <c r="D506" s="1" t="s">
        <v>18</v>
      </c>
      <c r="E506" s="1" t="s">
        <v>82</v>
      </c>
      <c r="F506" s="1" t="s">
        <v>70</v>
      </c>
      <c r="G506" s="1" t="s">
        <v>148</v>
      </c>
      <c r="H506" s="18" t="s">
        <v>345</v>
      </c>
      <c r="I506" s="13" t="s">
        <v>71</v>
      </c>
      <c r="J506" s="84">
        <f>J507</f>
        <v>525200</v>
      </c>
      <c r="K506" s="84">
        <f t="shared" si="302"/>
        <v>530479.06999999995</v>
      </c>
      <c r="L506" s="84">
        <f t="shared" si="302"/>
        <v>535783.86</v>
      </c>
      <c r="M506" s="84">
        <f t="shared" si="302"/>
        <v>0</v>
      </c>
      <c r="N506" s="84">
        <f t="shared" si="302"/>
        <v>0</v>
      </c>
      <c r="O506" s="84">
        <f t="shared" si="302"/>
        <v>0</v>
      </c>
      <c r="P506" s="84">
        <f t="shared" si="286"/>
        <v>525200</v>
      </c>
      <c r="Q506" s="84">
        <f t="shared" si="287"/>
        <v>530479.06999999995</v>
      </c>
      <c r="R506" s="84">
        <f t="shared" si="288"/>
        <v>535783.86</v>
      </c>
    </row>
    <row r="507" spans="1:18">
      <c r="A507" s="2" t="s">
        <v>249</v>
      </c>
      <c r="B507" s="1" t="s">
        <v>402</v>
      </c>
      <c r="C507" s="1" t="s">
        <v>16</v>
      </c>
      <c r="D507" s="1" t="s">
        <v>18</v>
      </c>
      <c r="E507" s="1" t="s">
        <v>82</v>
      </c>
      <c r="F507" s="1" t="s">
        <v>70</v>
      </c>
      <c r="G507" s="1" t="s">
        <v>148</v>
      </c>
      <c r="H507" s="18" t="s">
        <v>345</v>
      </c>
      <c r="I507" s="13" t="s">
        <v>246</v>
      </c>
      <c r="J507" s="84">
        <v>525200</v>
      </c>
      <c r="K507" s="84">
        <v>530479.06999999995</v>
      </c>
      <c r="L507" s="84">
        <v>535783.86</v>
      </c>
      <c r="M507" s="84"/>
      <c r="N507" s="84"/>
      <c r="O507" s="84"/>
      <c r="P507" s="84">
        <f t="shared" si="286"/>
        <v>525200</v>
      </c>
      <c r="Q507" s="84">
        <f t="shared" si="287"/>
        <v>530479.06999999995</v>
      </c>
      <c r="R507" s="84">
        <f t="shared" si="288"/>
        <v>535783.86</v>
      </c>
    </row>
    <row r="508" spans="1:18">
      <c r="A508" s="2"/>
      <c r="B508" s="1"/>
      <c r="C508" s="1"/>
      <c r="D508" s="1"/>
      <c r="E508" s="1"/>
      <c r="F508" s="1"/>
      <c r="G508" s="1"/>
      <c r="H508" s="18"/>
      <c r="I508" s="13"/>
      <c r="J508" s="84"/>
      <c r="K508" s="84"/>
      <c r="L508" s="84"/>
      <c r="M508" s="84"/>
      <c r="N508" s="84"/>
      <c r="O508" s="84"/>
      <c r="P508" s="84"/>
      <c r="Q508" s="84"/>
      <c r="R508" s="84"/>
    </row>
    <row r="509" spans="1:18">
      <c r="A509" s="4" t="s">
        <v>23</v>
      </c>
      <c r="B509" s="15" t="s">
        <v>402</v>
      </c>
      <c r="C509" s="15" t="s">
        <v>16</v>
      </c>
      <c r="D509" s="15" t="s">
        <v>27</v>
      </c>
      <c r="E509" s="15"/>
      <c r="F509" s="15"/>
      <c r="G509" s="15"/>
      <c r="H509" s="131"/>
      <c r="I509" s="27"/>
      <c r="J509" s="112">
        <f>J510</f>
        <v>30941700</v>
      </c>
      <c r="K509" s="112">
        <f t="shared" ref="K509:O509" si="303">K510</f>
        <v>5569055.0700000003</v>
      </c>
      <c r="L509" s="112">
        <f t="shared" si="303"/>
        <v>5595727.6200000001</v>
      </c>
      <c r="M509" s="112">
        <f t="shared" si="303"/>
        <v>3728658.14</v>
      </c>
      <c r="N509" s="112">
        <f t="shared" si="303"/>
        <v>0</v>
      </c>
      <c r="O509" s="112">
        <f t="shared" si="303"/>
        <v>0</v>
      </c>
      <c r="P509" s="112">
        <f t="shared" si="286"/>
        <v>34670358.140000001</v>
      </c>
      <c r="Q509" s="112">
        <f t="shared" si="287"/>
        <v>5569055.0700000003</v>
      </c>
      <c r="R509" s="112">
        <f t="shared" si="288"/>
        <v>5595727.6200000001</v>
      </c>
    </row>
    <row r="510" spans="1:18" ht="38.25">
      <c r="A510" s="2" t="s">
        <v>396</v>
      </c>
      <c r="B510" s="1" t="s">
        <v>402</v>
      </c>
      <c r="C510" s="1" t="s">
        <v>16</v>
      </c>
      <c r="D510" s="1" t="s">
        <v>27</v>
      </c>
      <c r="E510" s="1" t="s">
        <v>18</v>
      </c>
      <c r="F510" s="1" t="s">
        <v>70</v>
      </c>
      <c r="G510" s="1" t="s">
        <v>148</v>
      </c>
      <c r="H510" s="18" t="s">
        <v>149</v>
      </c>
      <c r="I510" s="13"/>
      <c r="J510" s="84">
        <f>+J511+J525+J514+J522</f>
        <v>30941700</v>
      </c>
      <c r="K510" s="84">
        <f t="shared" ref="K510:O510" si="304">+K511+K525+K514+K522</f>
        <v>5569055.0700000003</v>
      </c>
      <c r="L510" s="84">
        <f t="shared" si="304"/>
        <v>5595727.6200000001</v>
      </c>
      <c r="M510" s="84">
        <f t="shared" si="304"/>
        <v>3728658.14</v>
      </c>
      <c r="N510" s="84">
        <f t="shared" si="304"/>
        <v>0</v>
      </c>
      <c r="O510" s="84">
        <f t="shared" si="304"/>
        <v>0</v>
      </c>
      <c r="P510" s="84">
        <f t="shared" si="286"/>
        <v>34670358.140000001</v>
      </c>
      <c r="Q510" s="84">
        <f t="shared" si="287"/>
        <v>5569055.0700000003</v>
      </c>
      <c r="R510" s="84">
        <f t="shared" si="288"/>
        <v>5595727.6200000001</v>
      </c>
    </row>
    <row r="511" spans="1:18" ht="38.25">
      <c r="A511" s="92" t="s">
        <v>374</v>
      </c>
      <c r="B511" s="1" t="s">
        <v>402</v>
      </c>
      <c r="C511" s="1" t="s">
        <v>16</v>
      </c>
      <c r="D511" s="1" t="s">
        <v>27</v>
      </c>
      <c r="E511" s="1" t="s">
        <v>18</v>
      </c>
      <c r="F511" s="1" t="s">
        <v>70</v>
      </c>
      <c r="G511" s="1" t="s">
        <v>148</v>
      </c>
      <c r="H511" s="18" t="s">
        <v>267</v>
      </c>
      <c r="I511" s="13"/>
      <c r="J511" s="84">
        <f>J512</f>
        <v>50000</v>
      </c>
      <c r="K511" s="84">
        <f t="shared" ref="K511:O512" si="305">K512</f>
        <v>0</v>
      </c>
      <c r="L511" s="84">
        <f t="shared" si="305"/>
        <v>0</v>
      </c>
      <c r="M511" s="84">
        <f t="shared" si="305"/>
        <v>0</v>
      </c>
      <c r="N511" s="84">
        <f t="shared" si="305"/>
        <v>0</v>
      </c>
      <c r="O511" s="84">
        <f t="shared" si="305"/>
        <v>0</v>
      </c>
      <c r="P511" s="84">
        <f t="shared" si="286"/>
        <v>50000</v>
      </c>
      <c r="Q511" s="84">
        <f t="shared" si="287"/>
        <v>0</v>
      </c>
      <c r="R511" s="84">
        <f t="shared" si="288"/>
        <v>0</v>
      </c>
    </row>
    <row r="512" spans="1:18" ht="25.5">
      <c r="A512" s="127" t="s">
        <v>260</v>
      </c>
      <c r="B512" s="1" t="s">
        <v>402</v>
      </c>
      <c r="C512" s="1" t="s">
        <v>16</v>
      </c>
      <c r="D512" s="1" t="s">
        <v>27</v>
      </c>
      <c r="E512" s="1" t="s">
        <v>18</v>
      </c>
      <c r="F512" s="1" t="s">
        <v>70</v>
      </c>
      <c r="G512" s="1" t="s">
        <v>148</v>
      </c>
      <c r="H512" s="18" t="s">
        <v>267</v>
      </c>
      <c r="I512" s="13" t="s">
        <v>94</v>
      </c>
      <c r="J512" s="84">
        <f>J513</f>
        <v>50000</v>
      </c>
      <c r="K512" s="84">
        <f t="shared" si="305"/>
        <v>0</v>
      </c>
      <c r="L512" s="84">
        <f t="shared" si="305"/>
        <v>0</v>
      </c>
      <c r="M512" s="84">
        <f t="shared" si="305"/>
        <v>0</v>
      </c>
      <c r="N512" s="84">
        <f t="shared" si="305"/>
        <v>0</v>
      </c>
      <c r="O512" s="84">
        <f t="shared" si="305"/>
        <v>0</v>
      </c>
      <c r="P512" s="84">
        <f t="shared" si="286"/>
        <v>50000</v>
      </c>
      <c r="Q512" s="84">
        <f t="shared" si="287"/>
        <v>0</v>
      </c>
      <c r="R512" s="84">
        <f t="shared" si="288"/>
        <v>0</v>
      </c>
    </row>
    <row r="513" spans="1:18" ht="25.5">
      <c r="A513" s="78" t="s">
        <v>98</v>
      </c>
      <c r="B513" s="1" t="s">
        <v>402</v>
      </c>
      <c r="C513" s="1" t="s">
        <v>16</v>
      </c>
      <c r="D513" s="1" t="s">
        <v>27</v>
      </c>
      <c r="E513" s="1" t="s">
        <v>18</v>
      </c>
      <c r="F513" s="1" t="s">
        <v>70</v>
      </c>
      <c r="G513" s="1" t="s">
        <v>148</v>
      </c>
      <c r="H513" s="18" t="s">
        <v>267</v>
      </c>
      <c r="I513" s="13" t="s">
        <v>95</v>
      </c>
      <c r="J513" s="84">
        <v>50000</v>
      </c>
      <c r="K513" s="84"/>
      <c r="L513" s="84"/>
      <c r="M513" s="84"/>
      <c r="N513" s="84"/>
      <c r="O513" s="84"/>
      <c r="P513" s="84">
        <f t="shared" si="286"/>
        <v>50000</v>
      </c>
      <c r="Q513" s="84">
        <f t="shared" si="287"/>
        <v>0</v>
      </c>
      <c r="R513" s="84">
        <f t="shared" si="288"/>
        <v>0</v>
      </c>
    </row>
    <row r="514" spans="1:18" ht="38.25">
      <c r="A514" s="134" t="s">
        <v>375</v>
      </c>
      <c r="B514" s="1" t="s">
        <v>402</v>
      </c>
      <c r="C514" s="1" t="s">
        <v>16</v>
      </c>
      <c r="D514" s="1" t="s">
        <v>27</v>
      </c>
      <c r="E514" s="1" t="s">
        <v>18</v>
      </c>
      <c r="F514" s="1" t="s">
        <v>70</v>
      </c>
      <c r="G514" s="1" t="s">
        <v>148</v>
      </c>
      <c r="H514" s="18" t="s">
        <v>347</v>
      </c>
      <c r="I514" s="13"/>
      <c r="J514" s="84">
        <f>J515+J517+J519</f>
        <v>5542700</v>
      </c>
      <c r="K514" s="84">
        <f t="shared" ref="K514:L514" si="306">K515+K517+K519</f>
        <v>5569055.0700000003</v>
      </c>
      <c r="L514" s="84">
        <f t="shared" si="306"/>
        <v>5595727.6200000001</v>
      </c>
      <c r="M514" s="84">
        <f t="shared" ref="M514:O514" si="307">M515+M517+M519</f>
        <v>379507.29000000004</v>
      </c>
      <c r="N514" s="84">
        <f t="shared" si="307"/>
        <v>0</v>
      </c>
      <c r="O514" s="84">
        <f t="shared" si="307"/>
        <v>0</v>
      </c>
      <c r="P514" s="84">
        <f t="shared" si="286"/>
        <v>5922207.29</v>
      </c>
      <c r="Q514" s="84">
        <f t="shared" si="287"/>
        <v>5569055.0700000003</v>
      </c>
      <c r="R514" s="84">
        <f t="shared" si="288"/>
        <v>5595727.6200000001</v>
      </c>
    </row>
    <row r="515" spans="1:18" ht="38.25">
      <c r="A515" s="78" t="s">
        <v>96</v>
      </c>
      <c r="B515" s="1" t="s">
        <v>402</v>
      </c>
      <c r="C515" s="1" t="s">
        <v>16</v>
      </c>
      <c r="D515" s="1" t="s">
        <v>27</v>
      </c>
      <c r="E515" s="1" t="s">
        <v>18</v>
      </c>
      <c r="F515" s="1" t="s">
        <v>70</v>
      </c>
      <c r="G515" s="1" t="s">
        <v>148</v>
      </c>
      <c r="H515" s="18" t="s">
        <v>347</v>
      </c>
      <c r="I515" s="13" t="s">
        <v>92</v>
      </c>
      <c r="J515" s="84">
        <f>J516</f>
        <v>2690900</v>
      </c>
      <c r="K515" s="84">
        <f t="shared" ref="K515:O515" si="308">K516</f>
        <v>2717255.07</v>
      </c>
      <c r="L515" s="84">
        <f t="shared" si="308"/>
        <v>2743927.62</v>
      </c>
      <c r="M515" s="84">
        <f t="shared" si="308"/>
        <v>0</v>
      </c>
      <c r="N515" s="84">
        <f t="shared" si="308"/>
        <v>0</v>
      </c>
      <c r="O515" s="84">
        <f t="shared" si="308"/>
        <v>0</v>
      </c>
      <c r="P515" s="84">
        <f t="shared" si="286"/>
        <v>2690900</v>
      </c>
      <c r="Q515" s="84">
        <f t="shared" si="287"/>
        <v>2717255.07</v>
      </c>
      <c r="R515" s="84">
        <f t="shared" si="288"/>
        <v>2743927.62</v>
      </c>
    </row>
    <row r="516" spans="1:18">
      <c r="A516" s="78" t="s">
        <v>97</v>
      </c>
      <c r="B516" s="1" t="s">
        <v>402</v>
      </c>
      <c r="C516" s="1" t="s">
        <v>16</v>
      </c>
      <c r="D516" s="1" t="s">
        <v>27</v>
      </c>
      <c r="E516" s="1" t="s">
        <v>18</v>
      </c>
      <c r="F516" s="1" t="s">
        <v>70</v>
      </c>
      <c r="G516" s="1" t="s">
        <v>148</v>
      </c>
      <c r="H516" s="18" t="s">
        <v>347</v>
      </c>
      <c r="I516" s="13" t="s">
        <v>93</v>
      </c>
      <c r="J516" s="84">
        <f>1817100+328300+545500</f>
        <v>2690900</v>
      </c>
      <c r="K516" s="84">
        <f>1834996.45+331516.54+550742.08</f>
        <v>2717255.07</v>
      </c>
      <c r="L516" s="84">
        <f>1853046.42+334831.71+556049.49</f>
        <v>2743927.62</v>
      </c>
      <c r="M516" s="84"/>
      <c r="N516" s="84"/>
      <c r="O516" s="84"/>
      <c r="P516" s="84">
        <f t="shared" si="286"/>
        <v>2690900</v>
      </c>
      <c r="Q516" s="84">
        <f t="shared" si="287"/>
        <v>2717255.07</v>
      </c>
      <c r="R516" s="84">
        <f t="shared" si="288"/>
        <v>2743927.62</v>
      </c>
    </row>
    <row r="517" spans="1:18" ht="25.5">
      <c r="A517" s="80" t="s">
        <v>260</v>
      </c>
      <c r="B517" s="1" t="s">
        <v>402</v>
      </c>
      <c r="C517" s="1" t="s">
        <v>16</v>
      </c>
      <c r="D517" s="1" t="s">
        <v>27</v>
      </c>
      <c r="E517" s="1" t="s">
        <v>18</v>
      </c>
      <c r="F517" s="1" t="s">
        <v>70</v>
      </c>
      <c r="G517" s="1" t="s">
        <v>148</v>
      </c>
      <c r="H517" s="18" t="s">
        <v>347</v>
      </c>
      <c r="I517" s="13" t="s">
        <v>94</v>
      </c>
      <c r="J517" s="84">
        <f>J518</f>
        <v>2300000</v>
      </c>
      <c r="K517" s="84">
        <f t="shared" ref="K517:O517" si="309">K518</f>
        <v>2300000</v>
      </c>
      <c r="L517" s="84">
        <f t="shared" si="309"/>
        <v>2300000</v>
      </c>
      <c r="M517" s="84">
        <f t="shared" si="309"/>
        <v>836407.29</v>
      </c>
      <c r="N517" s="84">
        <f t="shared" si="309"/>
        <v>0</v>
      </c>
      <c r="O517" s="84">
        <f t="shared" si="309"/>
        <v>0</v>
      </c>
      <c r="P517" s="84">
        <f t="shared" si="286"/>
        <v>3136407.29</v>
      </c>
      <c r="Q517" s="84">
        <f t="shared" si="287"/>
        <v>2300000</v>
      </c>
      <c r="R517" s="84">
        <f t="shared" si="288"/>
        <v>2300000</v>
      </c>
    </row>
    <row r="518" spans="1:18" ht="25.5">
      <c r="A518" s="78" t="s">
        <v>98</v>
      </c>
      <c r="B518" s="1" t="s">
        <v>402</v>
      </c>
      <c r="C518" s="1" t="s">
        <v>16</v>
      </c>
      <c r="D518" s="1" t="s">
        <v>27</v>
      </c>
      <c r="E518" s="1" t="s">
        <v>18</v>
      </c>
      <c r="F518" s="1" t="s">
        <v>70</v>
      </c>
      <c r="G518" s="1" t="s">
        <v>148</v>
      </c>
      <c r="H518" s="18" t="s">
        <v>347</v>
      </c>
      <c r="I518" s="13" t="s">
        <v>95</v>
      </c>
      <c r="J518" s="84">
        <f>1580000+270000+450000</f>
        <v>2300000</v>
      </c>
      <c r="K518" s="84">
        <f>1580000+270000+450000</f>
        <v>2300000</v>
      </c>
      <c r="L518" s="84">
        <f>1580000+270000+450000</f>
        <v>2300000</v>
      </c>
      <c r="M518" s="84">
        <f>456900+379507.29</f>
        <v>836407.29</v>
      </c>
      <c r="N518" s="84"/>
      <c r="O518" s="84"/>
      <c r="P518" s="84">
        <f t="shared" si="286"/>
        <v>3136407.29</v>
      </c>
      <c r="Q518" s="84">
        <f t="shared" si="287"/>
        <v>2300000</v>
      </c>
      <c r="R518" s="84">
        <f t="shared" si="288"/>
        <v>2300000</v>
      </c>
    </row>
    <row r="519" spans="1:18">
      <c r="A519" s="78" t="s">
        <v>80</v>
      </c>
      <c r="B519" s="1" t="s">
        <v>402</v>
      </c>
      <c r="C519" s="1" t="s">
        <v>16</v>
      </c>
      <c r="D519" s="1" t="s">
        <v>27</v>
      </c>
      <c r="E519" s="1" t="s">
        <v>18</v>
      </c>
      <c r="F519" s="1" t="s">
        <v>70</v>
      </c>
      <c r="G519" s="1" t="s">
        <v>148</v>
      </c>
      <c r="H519" s="18" t="s">
        <v>347</v>
      </c>
      <c r="I519" s="13" t="s">
        <v>77</v>
      </c>
      <c r="J519" s="84">
        <f>J520+J521</f>
        <v>551800</v>
      </c>
      <c r="K519" s="84">
        <f t="shared" ref="K519:O519" si="310">K520+K521</f>
        <v>551800</v>
      </c>
      <c r="L519" s="84">
        <f t="shared" si="310"/>
        <v>551800</v>
      </c>
      <c r="M519" s="84">
        <f t="shared" si="310"/>
        <v>-456900</v>
      </c>
      <c r="N519" s="84">
        <f t="shared" si="310"/>
        <v>0</v>
      </c>
      <c r="O519" s="84">
        <f t="shared" si="310"/>
        <v>0</v>
      </c>
      <c r="P519" s="84">
        <f t="shared" si="286"/>
        <v>94900</v>
      </c>
      <c r="Q519" s="84">
        <f t="shared" si="287"/>
        <v>551800</v>
      </c>
      <c r="R519" s="84">
        <f t="shared" si="288"/>
        <v>551800</v>
      </c>
    </row>
    <row r="520" spans="1:18" ht="25.5">
      <c r="A520" s="127" t="s">
        <v>81</v>
      </c>
      <c r="B520" s="1" t="s">
        <v>402</v>
      </c>
      <c r="C520" s="1" t="s">
        <v>16</v>
      </c>
      <c r="D520" s="1" t="s">
        <v>27</v>
      </c>
      <c r="E520" s="1" t="s">
        <v>18</v>
      </c>
      <c r="F520" s="1" t="s">
        <v>70</v>
      </c>
      <c r="G520" s="1" t="s">
        <v>148</v>
      </c>
      <c r="H520" s="18" t="s">
        <v>347</v>
      </c>
      <c r="I520" s="13" t="s">
        <v>78</v>
      </c>
      <c r="J520" s="84">
        <v>505800</v>
      </c>
      <c r="K520" s="84">
        <v>505800</v>
      </c>
      <c r="L520" s="84">
        <v>505800</v>
      </c>
      <c r="M520" s="84">
        <v>-456900</v>
      </c>
      <c r="N520" s="84"/>
      <c r="O520" s="84"/>
      <c r="P520" s="84">
        <f t="shared" si="286"/>
        <v>48900</v>
      </c>
      <c r="Q520" s="84">
        <f t="shared" si="287"/>
        <v>505800</v>
      </c>
      <c r="R520" s="84">
        <f t="shared" si="288"/>
        <v>505800</v>
      </c>
    </row>
    <row r="521" spans="1:18">
      <c r="A521" s="83" t="s">
        <v>125</v>
      </c>
      <c r="B521" s="1" t="s">
        <v>402</v>
      </c>
      <c r="C521" s="1" t="s">
        <v>16</v>
      </c>
      <c r="D521" s="1" t="s">
        <v>27</v>
      </c>
      <c r="E521" s="1" t="s">
        <v>18</v>
      </c>
      <c r="F521" s="1" t="s">
        <v>70</v>
      </c>
      <c r="G521" s="1" t="s">
        <v>148</v>
      </c>
      <c r="H521" s="18" t="s">
        <v>347</v>
      </c>
      <c r="I521" s="13" t="s">
        <v>124</v>
      </c>
      <c r="J521" s="84">
        <v>46000</v>
      </c>
      <c r="K521" s="84">
        <v>46000</v>
      </c>
      <c r="L521" s="84">
        <v>46000</v>
      </c>
      <c r="M521" s="84"/>
      <c r="N521" s="84"/>
      <c r="O521" s="84"/>
      <c r="P521" s="84">
        <f t="shared" si="286"/>
        <v>46000</v>
      </c>
      <c r="Q521" s="84">
        <f t="shared" si="287"/>
        <v>46000</v>
      </c>
      <c r="R521" s="84">
        <f t="shared" si="288"/>
        <v>46000</v>
      </c>
    </row>
    <row r="522" spans="1:18" ht="25.5">
      <c r="A522" s="83" t="s">
        <v>420</v>
      </c>
      <c r="B522" s="1" t="s">
        <v>402</v>
      </c>
      <c r="C522" s="1" t="s">
        <v>16</v>
      </c>
      <c r="D522" s="1" t="s">
        <v>27</v>
      </c>
      <c r="E522" s="1" t="s">
        <v>18</v>
      </c>
      <c r="F522" s="1" t="s">
        <v>70</v>
      </c>
      <c r="G522" s="1" t="s">
        <v>148</v>
      </c>
      <c r="H522" s="18" t="s">
        <v>419</v>
      </c>
      <c r="I522" s="13"/>
      <c r="J522" s="84">
        <f>J523</f>
        <v>0</v>
      </c>
      <c r="K522" s="84">
        <f t="shared" ref="K522:O523" si="311">K523</f>
        <v>0</v>
      </c>
      <c r="L522" s="84">
        <f t="shared" si="311"/>
        <v>0</v>
      </c>
      <c r="M522" s="84">
        <f t="shared" si="311"/>
        <v>3349150.85</v>
      </c>
      <c r="N522" s="84">
        <f t="shared" si="311"/>
        <v>0</v>
      </c>
      <c r="O522" s="84">
        <f t="shared" si="311"/>
        <v>0</v>
      </c>
      <c r="P522" s="84">
        <f t="shared" ref="P522:P524" si="312">J522+M522</f>
        <v>3349150.85</v>
      </c>
      <c r="Q522" s="84">
        <f t="shared" ref="Q522:Q524" si="313">K522+N522</f>
        <v>0</v>
      </c>
      <c r="R522" s="84">
        <f t="shared" ref="R522:R524" si="314">L522+O522</f>
        <v>0</v>
      </c>
    </row>
    <row r="523" spans="1:18" ht="25.5">
      <c r="A523" s="80" t="s">
        <v>260</v>
      </c>
      <c r="B523" s="1" t="s">
        <v>402</v>
      </c>
      <c r="C523" s="1" t="s">
        <v>16</v>
      </c>
      <c r="D523" s="1" t="s">
        <v>27</v>
      </c>
      <c r="E523" s="1" t="s">
        <v>18</v>
      </c>
      <c r="F523" s="1" t="s">
        <v>70</v>
      </c>
      <c r="G523" s="1" t="s">
        <v>148</v>
      </c>
      <c r="H523" s="18" t="s">
        <v>419</v>
      </c>
      <c r="I523" s="13" t="s">
        <v>94</v>
      </c>
      <c r="J523" s="84">
        <f>J524</f>
        <v>0</v>
      </c>
      <c r="K523" s="84">
        <f t="shared" si="311"/>
        <v>0</v>
      </c>
      <c r="L523" s="84">
        <f t="shared" si="311"/>
        <v>0</v>
      </c>
      <c r="M523" s="84">
        <f t="shared" si="311"/>
        <v>3349150.85</v>
      </c>
      <c r="N523" s="84">
        <f t="shared" si="311"/>
        <v>0</v>
      </c>
      <c r="O523" s="84">
        <f t="shared" si="311"/>
        <v>0</v>
      </c>
      <c r="P523" s="84">
        <f t="shared" si="312"/>
        <v>3349150.85</v>
      </c>
      <c r="Q523" s="84">
        <f t="shared" si="313"/>
        <v>0</v>
      </c>
      <c r="R523" s="84">
        <f t="shared" si="314"/>
        <v>0</v>
      </c>
    </row>
    <row r="524" spans="1:18" ht="25.5">
      <c r="A524" s="78" t="s">
        <v>98</v>
      </c>
      <c r="B524" s="1" t="s">
        <v>402</v>
      </c>
      <c r="C524" s="1" t="s">
        <v>16</v>
      </c>
      <c r="D524" s="1" t="s">
        <v>27</v>
      </c>
      <c r="E524" s="1" t="s">
        <v>18</v>
      </c>
      <c r="F524" s="1" t="s">
        <v>70</v>
      </c>
      <c r="G524" s="1" t="s">
        <v>148</v>
      </c>
      <c r="H524" s="18" t="s">
        <v>419</v>
      </c>
      <c r="I524" s="13" t="s">
        <v>95</v>
      </c>
      <c r="J524" s="84"/>
      <c r="K524" s="84"/>
      <c r="L524" s="84"/>
      <c r="M524" s="84">
        <v>3349150.85</v>
      </c>
      <c r="N524" s="84"/>
      <c r="O524" s="84"/>
      <c r="P524" s="84">
        <f t="shared" si="312"/>
        <v>3349150.85</v>
      </c>
      <c r="Q524" s="84">
        <f t="shared" si="313"/>
        <v>0</v>
      </c>
      <c r="R524" s="84">
        <f t="shared" si="314"/>
        <v>0</v>
      </c>
    </row>
    <row r="525" spans="1:18" ht="25.5">
      <c r="A525" s="7" t="s">
        <v>312</v>
      </c>
      <c r="B525" s="1" t="s">
        <v>402</v>
      </c>
      <c r="C525" s="1" t="s">
        <v>16</v>
      </c>
      <c r="D525" s="1" t="s">
        <v>27</v>
      </c>
      <c r="E525" s="1" t="s">
        <v>18</v>
      </c>
      <c r="F525" s="1" t="s">
        <v>70</v>
      </c>
      <c r="G525" s="1" t="s">
        <v>148</v>
      </c>
      <c r="H525" s="18" t="s">
        <v>311</v>
      </c>
      <c r="I525" s="135"/>
      <c r="J525" s="84">
        <f>J526</f>
        <v>25349000</v>
      </c>
      <c r="K525" s="84">
        <f t="shared" ref="K525:O526" si="315">K526</f>
        <v>0</v>
      </c>
      <c r="L525" s="84">
        <f t="shared" si="315"/>
        <v>0</v>
      </c>
      <c r="M525" s="84">
        <f t="shared" si="315"/>
        <v>0</v>
      </c>
      <c r="N525" s="84">
        <f t="shared" si="315"/>
        <v>0</v>
      </c>
      <c r="O525" s="84">
        <f t="shared" si="315"/>
        <v>0</v>
      </c>
      <c r="P525" s="84">
        <f t="shared" si="286"/>
        <v>25349000</v>
      </c>
      <c r="Q525" s="84">
        <f t="shared" si="287"/>
        <v>0</v>
      </c>
      <c r="R525" s="84">
        <f t="shared" si="288"/>
        <v>0</v>
      </c>
    </row>
    <row r="526" spans="1:18" ht="25.5">
      <c r="A526" s="80" t="s">
        <v>260</v>
      </c>
      <c r="B526" s="1" t="s">
        <v>402</v>
      </c>
      <c r="C526" s="1" t="s">
        <v>16</v>
      </c>
      <c r="D526" s="1" t="s">
        <v>27</v>
      </c>
      <c r="E526" s="1" t="s">
        <v>18</v>
      </c>
      <c r="F526" s="1" t="s">
        <v>70</v>
      </c>
      <c r="G526" s="1" t="s">
        <v>148</v>
      </c>
      <c r="H526" s="18" t="s">
        <v>311</v>
      </c>
      <c r="I526" s="135" t="s">
        <v>94</v>
      </c>
      <c r="J526" s="84">
        <f>J527</f>
        <v>25349000</v>
      </c>
      <c r="K526" s="84">
        <f t="shared" si="315"/>
        <v>0</v>
      </c>
      <c r="L526" s="84">
        <f t="shared" si="315"/>
        <v>0</v>
      </c>
      <c r="M526" s="84">
        <f t="shared" si="315"/>
        <v>0</v>
      </c>
      <c r="N526" s="84">
        <f t="shared" si="315"/>
        <v>0</v>
      </c>
      <c r="O526" s="84">
        <f t="shared" si="315"/>
        <v>0</v>
      </c>
      <c r="P526" s="84">
        <f t="shared" si="286"/>
        <v>25349000</v>
      </c>
      <c r="Q526" s="84">
        <f t="shared" si="287"/>
        <v>0</v>
      </c>
      <c r="R526" s="84">
        <f t="shared" si="288"/>
        <v>0</v>
      </c>
    </row>
    <row r="527" spans="1:18" ht="25.5">
      <c r="A527" s="78" t="s">
        <v>98</v>
      </c>
      <c r="B527" s="1" t="s">
        <v>402</v>
      </c>
      <c r="C527" s="1" t="s">
        <v>16</v>
      </c>
      <c r="D527" s="1" t="s">
        <v>27</v>
      </c>
      <c r="E527" s="1" t="s">
        <v>18</v>
      </c>
      <c r="F527" s="1" t="s">
        <v>70</v>
      </c>
      <c r="G527" s="1" t="s">
        <v>148</v>
      </c>
      <c r="H527" s="18" t="s">
        <v>311</v>
      </c>
      <c r="I527" s="135" t="s">
        <v>95</v>
      </c>
      <c r="J527" s="84">
        <v>25349000</v>
      </c>
      <c r="K527" s="84"/>
      <c r="L527" s="84"/>
      <c r="M527" s="84"/>
      <c r="N527" s="84"/>
      <c r="O527" s="84"/>
      <c r="P527" s="84">
        <f t="shared" si="286"/>
        <v>25349000</v>
      </c>
      <c r="Q527" s="84">
        <f t="shared" si="287"/>
        <v>0</v>
      </c>
      <c r="R527" s="84">
        <f t="shared" si="288"/>
        <v>0</v>
      </c>
    </row>
    <row r="528" spans="1:18">
      <c r="A528" s="80"/>
      <c r="B528" s="1"/>
      <c r="C528" s="1"/>
      <c r="D528" s="1"/>
      <c r="E528" s="1"/>
      <c r="F528" s="1"/>
      <c r="G528" s="1"/>
      <c r="H528" s="18"/>
      <c r="I528" s="13"/>
      <c r="J528" s="84"/>
      <c r="K528" s="84"/>
      <c r="L528" s="84"/>
      <c r="M528" s="84"/>
      <c r="N528" s="84"/>
      <c r="O528" s="84"/>
      <c r="P528" s="84"/>
      <c r="Q528" s="84"/>
      <c r="R528" s="84"/>
    </row>
    <row r="529" spans="1:18">
      <c r="A529" s="4" t="s">
        <v>60</v>
      </c>
      <c r="B529" s="14" t="s">
        <v>402</v>
      </c>
      <c r="C529" s="14" t="s">
        <v>16</v>
      </c>
      <c r="D529" s="14" t="s">
        <v>14</v>
      </c>
      <c r="E529" s="14"/>
      <c r="F529" s="14"/>
      <c r="G529" s="14"/>
      <c r="H529" s="1"/>
      <c r="I529" s="13"/>
      <c r="J529" s="112">
        <f>J530+J546+J541</f>
        <v>27679339</v>
      </c>
      <c r="K529" s="112">
        <f>K530+K546+K541</f>
        <v>26191349.690000001</v>
      </c>
      <c r="L529" s="112">
        <f>L530+L546+L541</f>
        <v>27031449.68</v>
      </c>
      <c r="M529" s="112">
        <f t="shared" ref="M529:O529" si="316">M530+M546+M541</f>
        <v>9407967.2100000009</v>
      </c>
      <c r="N529" s="112">
        <f t="shared" si="316"/>
        <v>0</v>
      </c>
      <c r="O529" s="112">
        <f t="shared" si="316"/>
        <v>0</v>
      </c>
      <c r="P529" s="112">
        <f t="shared" si="286"/>
        <v>37087306.210000001</v>
      </c>
      <c r="Q529" s="112">
        <f t="shared" si="287"/>
        <v>26191349.690000001</v>
      </c>
      <c r="R529" s="112">
        <f t="shared" si="288"/>
        <v>27031449.68</v>
      </c>
    </row>
    <row r="530" spans="1:18" ht="38.25">
      <c r="A530" s="2" t="s">
        <v>396</v>
      </c>
      <c r="B530" s="1" t="s">
        <v>402</v>
      </c>
      <c r="C530" s="1" t="s">
        <v>16</v>
      </c>
      <c r="D530" s="1" t="s">
        <v>14</v>
      </c>
      <c r="E530" s="1" t="s">
        <v>18</v>
      </c>
      <c r="F530" s="1" t="s">
        <v>70</v>
      </c>
      <c r="G530" s="1" t="s">
        <v>148</v>
      </c>
      <c r="H530" s="18" t="s">
        <v>149</v>
      </c>
      <c r="I530" s="13"/>
      <c r="J530" s="84">
        <f>+J538+J531</f>
        <v>3571250</v>
      </c>
      <c r="K530" s="84">
        <f t="shared" ref="K530:L530" si="317">+K538+K531</f>
        <v>1874149.69</v>
      </c>
      <c r="L530" s="84">
        <f t="shared" si="317"/>
        <v>1883149.6800000002</v>
      </c>
      <c r="M530" s="84">
        <f t="shared" ref="M530:O530" si="318">+M538+M531</f>
        <v>0</v>
      </c>
      <c r="N530" s="84">
        <f t="shared" si="318"/>
        <v>0</v>
      </c>
      <c r="O530" s="84">
        <f t="shared" si="318"/>
        <v>0</v>
      </c>
      <c r="P530" s="84">
        <f t="shared" si="286"/>
        <v>3571250</v>
      </c>
      <c r="Q530" s="84">
        <f t="shared" si="287"/>
        <v>1874149.69</v>
      </c>
      <c r="R530" s="84">
        <f t="shared" si="288"/>
        <v>1883149.6800000002</v>
      </c>
    </row>
    <row r="531" spans="1:18" ht="38.25">
      <c r="A531" s="2" t="s">
        <v>349</v>
      </c>
      <c r="B531" s="1" t="s">
        <v>402</v>
      </c>
      <c r="C531" s="1" t="s">
        <v>16</v>
      </c>
      <c r="D531" s="1" t="s">
        <v>14</v>
      </c>
      <c r="E531" s="1" t="s">
        <v>18</v>
      </c>
      <c r="F531" s="1" t="s">
        <v>70</v>
      </c>
      <c r="G531" s="1" t="s">
        <v>148</v>
      </c>
      <c r="H531" s="18" t="s">
        <v>348</v>
      </c>
      <c r="I531" s="13"/>
      <c r="J531" s="84">
        <f>J532+J534+J536</f>
        <v>1875250</v>
      </c>
      <c r="K531" s="84">
        <f t="shared" ref="K531:L531" si="319">K532+K534+K536</f>
        <v>1874149.69</v>
      </c>
      <c r="L531" s="84">
        <f t="shared" si="319"/>
        <v>1883149.6800000002</v>
      </c>
      <c r="M531" s="84">
        <f t="shared" ref="M531:O531" si="320">M532+M534+M536</f>
        <v>0</v>
      </c>
      <c r="N531" s="84">
        <f t="shared" si="320"/>
        <v>0</v>
      </c>
      <c r="O531" s="84">
        <f t="shared" si="320"/>
        <v>0</v>
      </c>
      <c r="P531" s="84">
        <f t="shared" si="286"/>
        <v>1875250</v>
      </c>
      <c r="Q531" s="84">
        <f t="shared" si="287"/>
        <v>1874149.69</v>
      </c>
      <c r="R531" s="84">
        <f t="shared" si="288"/>
        <v>1883149.6800000002</v>
      </c>
    </row>
    <row r="532" spans="1:18" ht="38.25">
      <c r="A532" s="78" t="s">
        <v>96</v>
      </c>
      <c r="B532" s="1" t="s">
        <v>402</v>
      </c>
      <c r="C532" s="1" t="s">
        <v>16</v>
      </c>
      <c r="D532" s="1" t="s">
        <v>14</v>
      </c>
      <c r="E532" s="1" t="s">
        <v>18</v>
      </c>
      <c r="F532" s="1" t="s">
        <v>70</v>
      </c>
      <c r="G532" s="1" t="s">
        <v>148</v>
      </c>
      <c r="H532" s="18" t="s">
        <v>348</v>
      </c>
      <c r="I532" s="13" t="s">
        <v>92</v>
      </c>
      <c r="J532" s="84">
        <f>J533</f>
        <v>911100</v>
      </c>
      <c r="K532" s="84">
        <f t="shared" ref="K532:O532" si="321">K533</f>
        <v>919999.69</v>
      </c>
      <c r="L532" s="84">
        <f t="shared" si="321"/>
        <v>928999.68</v>
      </c>
      <c r="M532" s="84">
        <f t="shared" si="321"/>
        <v>0</v>
      </c>
      <c r="N532" s="84">
        <f t="shared" si="321"/>
        <v>0</v>
      </c>
      <c r="O532" s="84">
        <f t="shared" si="321"/>
        <v>0</v>
      </c>
      <c r="P532" s="84">
        <f t="shared" si="286"/>
        <v>911100</v>
      </c>
      <c r="Q532" s="84">
        <f t="shared" si="287"/>
        <v>919999.69</v>
      </c>
      <c r="R532" s="84">
        <f t="shared" si="288"/>
        <v>928999.68</v>
      </c>
    </row>
    <row r="533" spans="1:18">
      <c r="A533" s="78" t="s">
        <v>97</v>
      </c>
      <c r="B533" s="1" t="s">
        <v>402</v>
      </c>
      <c r="C533" s="1" t="s">
        <v>16</v>
      </c>
      <c r="D533" s="1" t="s">
        <v>14</v>
      </c>
      <c r="E533" s="1" t="s">
        <v>18</v>
      </c>
      <c r="F533" s="1" t="s">
        <v>70</v>
      </c>
      <c r="G533" s="1" t="s">
        <v>148</v>
      </c>
      <c r="H533" s="18" t="s">
        <v>348</v>
      </c>
      <c r="I533" s="13" t="s">
        <v>93</v>
      </c>
      <c r="J533" s="84">
        <v>911100</v>
      </c>
      <c r="K533" s="84">
        <v>919999.69</v>
      </c>
      <c r="L533" s="84">
        <v>928999.68</v>
      </c>
      <c r="M533" s="84"/>
      <c r="N533" s="84"/>
      <c r="O533" s="84"/>
      <c r="P533" s="84">
        <f t="shared" si="286"/>
        <v>911100</v>
      </c>
      <c r="Q533" s="84">
        <f t="shared" si="287"/>
        <v>919999.69</v>
      </c>
      <c r="R533" s="84">
        <f t="shared" si="288"/>
        <v>928999.68</v>
      </c>
    </row>
    <row r="534" spans="1:18" ht="25.5">
      <c r="A534" s="80" t="s">
        <v>260</v>
      </c>
      <c r="B534" s="1" t="s">
        <v>402</v>
      </c>
      <c r="C534" s="1" t="s">
        <v>16</v>
      </c>
      <c r="D534" s="1" t="s">
        <v>14</v>
      </c>
      <c r="E534" s="1" t="s">
        <v>18</v>
      </c>
      <c r="F534" s="1" t="s">
        <v>70</v>
      </c>
      <c r="G534" s="1" t="s">
        <v>148</v>
      </c>
      <c r="H534" s="18" t="s">
        <v>348</v>
      </c>
      <c r="I534" s="13" t="s">
        <v>94</v>
      </c>
      <c r="J534" s="84">
        <f>J535</f>
        <v>954150</v>
      </c>
      <c r="K534" s="84">
        <f t="shared" ref="K534:O534" si="322">K535</f>
        <v>954150</v>
      </c>
      <c r="L534" s="84">
        <f t="shared" si="322"/>
        <v>954150</v>
      </c>
      <c r="M534" s="84">
        <f t="shared" si="322"/>
        <v>0</v>
      </c>
      <c r="N534" s="84">
        <f t="shared" si="322"/>
        <v>0</v>
      </c>
      <c r="O534" s="84">
        <f t="shared" si="322"/>
        <v>0</v>
      </c>
      <c r="P534" s="84">
        <f t="shared" si="286"/>
        <v>954150</v>
      </c>
      <c r="Q534" s="84">
        <f t="shared" si="287"/>
        <v>954150</v>
      </c>
      <c r="R534" s="84">
        <f t="shared" si="288"/>
        <v>954150</v>
      </c>
    </row>
    <row r="535" spans="1:18" ht="25.5">
      <c r="A535" s="78" t="s">
        <v>98</v>
      </c>
      <c r="B535" s="1" t="s">
        <v>402</v>
      </c>
      <c r="C535" s="1" t="s">
        <v>16</v>
      </c>
      <c r="D535" s="1" t="s">
        <v>14</v>
      </c>
      <c r="E535" s="1" t="s">
        <v>18</v>
      </c>
      <c r="F535" s="1" t="s">
        <v>70</v>
      </c>
      <c r="G535" s="1" t="s">
        <v>148</v>
      </c>
      <c r="H535" s="18" t="s">
        <v>348</v>
      </c>
      <c r="I535" s="13" t="s">
        <v>95</v>
      </c>
      <c r="J535" s="84">
        <v>954150</v>
      </c>
      <c r="K535" s="84">
        <v>954150</v>
      </c>
      <c r="L535" s="84">
        <v>954150</v>
      </c>
      <c r="M535" s="84"/>
      <c r="N535" s="84"/>
      <c r="O535" s="84"/>
      <c r="P535" s="84">
        <f t="shared" si="286"/>
        <v>954150</v>
      </c>
      <c r="Q535" s="84">
        <f t="shared" si="287"/>
        <v>954150</v>
      </c>
      <c r="R535" s="84">
        <f t="shared" si="288"/>
        <v>954150</v>
      </c>
    </row>
    <row r="536" spans="1:18">
      <c r="A536" s="78" t="s">
        <v>80</v>
      </c>
      <c r="B536" s="1" t="s">
        <v>402</v>
      </c>
      <c r="C536" s="1" t="s">
        <v>16</v>
      </c>
      <c r="D536" s="1" t="s">
        <v>14</v>
      </c>
      <c r="E536" s="1" t="s">
        <v>18</v>
      </c>
      <c r="F536" s="1" t="s">
        <v>70</v>
      </c>
      <c r="G536" s="1" t="s">
        <v>148</v>
      </c>
      <c r="H536" s="18" t="s">
        <v>348</v>
      </c>
      <c r="I536" s="13" t="s">
        <v>77</v>
      </c>
      <c r="J536" s="84">
        <f>J537</f>
        <v>10000</v>
      </c>
      <c r="K536" s="84">
        <f t="shared" ref="K536:O536" si="323">K537</f>
        <v>0</v>
      </c>
      <c r="L536" s="84">
        <f t="shared" si="323"/>
        <v>0</v>
      </c>
      <c r="M536" s="84">
        <f t="shared" si="323"/>
        <v>0</v>
      </c>
      <c r="N536" s="84">
        <f t="shared" si="323"/>
        <v>0</v>
      </c>
      <c r="O536" s="84">
        <f t="shared" si="323"/>
        <v>0</v>
      </c>
      <c r="P536" s="84">
        <f t="shared" si="286"/>
        <v>10000</v>
      </c>
      <c r="Q536" s="84">
        <f t="shared" si="287"/>
        <v>0</v>
      </c>
      <c r="R536" s="84">
        <f t="shared" si="288"/>
        <v>0</v>
      </c>
    </row>
    <row r="537" spans="1:18">
      <c r="A537" s="83" t="s">
        <v>125</v>
      </c>
      <c r="B537" s="1" t="s">
        <v>402</v>
      </c>
      <c r="C537" s="1" t="s">
        <v>16</v>
      </c>
      <c r="D537" s="1" t="s">
        <v>14</v>
      </c>
      <c r="E537" s="1" t="s">
        <v>18</v>
      </c>
      <c r="F537" s="1" t="s">
        <v>70</v>
      </c>
      <c r="G537" s="1" t="s">
        <v>148</v>
      </c>
      <c r="H537" s="18" t="s">
        <v>348</v>
      </c>
      <c r="I537" s="13" t="s">
        <v>124</v>
      </c>
      <c r="J537" s="84">
        <v>10000</v>
      </c>
      <c r="K537" s="84"/>
      <c r="L537" s="84"/>
      <c r="M537" s="84"/>
      <c r="N537" s="84"/>
      <c r="O537" s="84"/>
      <c r="P537" s="84">
        <f t="shared" si="286"/>
        <v>10000</v>
      </c>
      <c r="Q537" s="84">
        <f t="shared" si="287"/>
        <v>0</v>
      </c>
      <c r="R537" s="84">
        <f t="shared" si="288"/>
        <v>0</v>
      </c>
    </row>
    <row r="538" spans="1:18" ht="25.5">
      <c r="A538" s="7" t="s">
        <v>312</v>
      </c>
      <c r="B538" s="1" t="s">
        <v>402</v>
      </c>
      <c r="C538" s="1" t="s">
        <v>16</v>
      </c>
      <c r="D538" s="1" t="s">
        <v>14</v>
      </c>
      <c r="E538" s="1" t="s">
        <v>18</v>
      </c>
      <c r="F538" s="1" t="s">
        <v>70</v>
      </c>
      <c r="G538" s="1" t="s">
        <v>148</v>
      </c>
      <c r="H538" s="18" t="s">
        <v>311</v>
      </c>
      <c r="I538" s="13"/>
      <c r="J538" s="84">
        <f>J539</f>
        <v>1696000</v>
      </c>
      <c r="K538" s="84">
        <f t="shared" ref="K538:O539" si="324">K539</f>
        <v>0</v>
      </c>
      <c r="L538" s="84">
        <f t="shared" si="324"/>
        <v>0</v>
      </c>
      <c r="M538" s="84">
        <f t="shared" si="324"/>
        <v>0</v>
      </c>
      <c r="N538" s="84">
        <f t="shared" si="324"/>
        <v>0</v>
      </c>
      <c r="O538" s="84">
        <f t="shared" si="324"/>
        <v>0</v>
      </c>
      <c r="P538" s="84">
        <f t="shared" si="286"/>
        <v>1696000</v>
      </c>
      <c r="Q538" s="84">
        <f t="shared" si="287"/>
        <v>0</v>
      </c>
      <c r="R538" s="84">
        <f t="shared" si="288"/>
        <v>0</v>
      </c>
    </row>
    <row r="539" spans="1:18" ht="25.5">
      <c r="A539" s="80" t="s">
        <v>260</v>
      </c>
      <c r="B539" s="1" t="s">
        <v>402</v>
      </c>
      <c r="C539" s="1" t="s">
        <v>16</v>
      </c>
      <c r="D539" s="1" t="s">
        <v>14</v>
      </c>
      <c r="E539" s="1" t="s">
        <v>18</v>
      </c>
      <c r="F539" s="1" t="s">
        <v>70</v>
      </c>
      <c r="G539" s="1" t="s">
        <v>148</v>
      </c>
      <c r="H539" s="18" t="s">
        <v>311</v>
      </c>
      <c r="I539" s="13" t="s">
        <v>94</v>
      </c>
      <c r="J539" s="84">
        <f>J540</f>
        <v>1696000</v>
      </c>
      <c r="K539" s="84">
        <f t="shared" si="324"/>
        <v>0</v>
      </c>
      <c r="L539" s="84">
        <f t="shared" si="324"/>
        <v>0</v>
      </c>
      <c r="M539" s="84">
        <f t="shared" si="324"/>
        <v>0</v>
      </c>
      <c r="N539" s="84">
        <f t="shared" si="324"/>
        <v>0</v>
      </c>
      <c r="O539" s="84">
        <f t="shared" si="324"/>
        <v>0</v>
      </c>
      <c r="P539" s="84">
        <f t="shared" si="286"/>
        <v>1696000</v>
      </c>
      <c r="Q539" s="84">
        <f t="shared" si="287"/>
        <v>0</v>
      </c>
      <c r="R539" s="84">
        <f t="shared" si="288"/>
        <v>0</v>
      </c>
    </row>
    <row r="540" spans="1:18" ht="25.5">
      <c r="A540" s="78" t="s">
        <v>98</v>
      </c>
      <c r="B540" s="1" t="s">
        <v>402</v>
      </c>
      <c r="C540" s="1" t="s">
        <v>16</v>
      </c>
      <c r="D540" s="1" t="s">
        <v>14</v>
      </c>
      <c r="E540" s="1" t="s">
        <v>18</v>
      </c>
      <c r="F540" s="1" t="s">
        <v>70</v>
      </c>
      <c r="G540" s="1" t="s">
        <v>148</v>
      </c>
      <c r="H540" s="18" t="s">
        <v>311</v>
      </c>
      <c r="I540" s="13" t="s">
        <v>95</v>
      </c>
      <c r="J540" s="84">
        <v>1696000</v>
      </c>
      <c r="K540" s="84"/>
      <c r="L540" s="84"/>
      <c r="M540" s="84"/>
      <c r="N540" s="84"/>
      <c r="O540" s="84"/>
      <c r="P540" s="84">
        <f t="shared" si="286"/>
        <v>1696000</v>
      </c>
      <c r="Q540" s="84">
        <f t="shared" si="287"/>
        <v>0</v>
      </c>
      <c r="R540" s="84">
        <f t="shared" si="288"/>
        <v>0</v>
      </c>
    </row>
    <row r="541" spans="1:18" ht="38.25">
      <c r="A541" s="2" t="s">
        <v>289</v>
      </c>
      <c r="B541" s="1" t="s">
        <v>402</v>
      </c>
      <c r="C541" s="1" t="s">
        <v>16</v>
      </c>
      <c r="D541" s="1" t="s">
        <v>14</v>
      </c>
      <c r="E541" s="1" t="s">
        <v>27</v>
      </c>
      <c r="F541" s="1" t="s">
        <v>70</v>
      </c>
      <c r="G541" s="1" t="s">
        <v>148</v>
      </c>
      <c r="H541" s="1" t="s">
        <v>149</v>
      </c>
      <c r="I541" s="13"/>
      <c r="J541" s="84">
        <f>J542</f>
        <v>1000000</v>
      </c>
      <c r="K541" s="84">
        <f t="shared" ref="K541:O544" si="325">K542</f>
        <v>0</v>
      </c>
      <c r="L541" s="84">
        <f t="shared" si="325"/>
        <v>0</v>
      </c>
      <c r="M541" s="84">
        <f t="shared" si="325"/>
        <v>0</v>
      </c>
      <c r="N541" s="84">
        <f t="shared" si="325"/>
        <v>0</v>
      </c>
      <c r="O541" s="84">
        <f t="shared" si="325"/>
        <v>0</v>
      </c>
      <c r="P541" s="84">
        <f t="shared" si="286"/>
        <v>1000000</v>
      </c>
      <c r="Q541" s="84">
        <f t="shared" si="287"/>
        <v>0</v>
      </c>
      <c r="R541" s="84">
        <f t="shared" si="288"/>
        <v>0</v>
      </c>
    </row>
    <row r="542" spans="1:18">
      <c r="A542" s="7" t="s">
        <v>216</v>
      </c>
      <c r="B542" s="1" t="s">
        <v>402</v>
      </c>
      <c r="C542" s="1" t="s">
        <v>16</v>
      </c>
      <c r="D542" s="1" t="s">
        <v>14</v>
      </c>
      <c r="E542" s="1" t="s">
        <v>27</v>
      </c>
      <c r="F542" s="1" t="s">
        <v>113</v>
      </c>
      <c r="G542" s="1" t="s">
        <v>148</v>
      </c>
      <c r="H542" s="1" t="s">
        <v>149</v>
      </c>
      <c r="I542" s="13"/>
      <c r="J542" s="84">
        <f>J543</f>
        <v>1000000</v>
      </c>
      <c r="K542" s="84">
        <f t="shared" si="325"/>
        <v>0</v>
      </c>
      <c r="L542" s="84">
        <f t="shared" si="325"/>
        <v>0</v>
      </c>
      <c r="M542" s="84">
        <f t="shared" si="325"/>
        <v>0</v>
      </c>
      <c r="N542" s="84">
        <f t="shared" si="325"/>
        <v>0</v>
      </c>
      <c r="O542" s="84">
        <f t="shared" si="325"/>
        <v>0</v>
      </c>
      <c r="P542" s="84">
        <f t="shared" si="286"/>
        <v>1000000</v>
      </c>
      <c r="Q542" s="84">
        <f t="shared" si="287"/>
        <v>0</v>
      </c>
      <c r="R542" s="84">
        <f t="shared" si="288"/>
        <v>0</v>
      </c>
    </row>
    <row r="543" spans="1:18" ht="25.5">
      <c r="A543" s="7" t="s">
        <v>270</v>
      </c>
      <c r="B543" s="1" t="s">
        <v>402</v>
      </c>
      <c r="C543" s="1" t="s">
        <v>16</v>
      </c>
      <c r="D543" s="1" t="s">
        <v>14</v>
      </c>
      <c r="E543" s="1" t="s">
        <v>27</v>
      </c>
      <c r="F543" s="1" t="s">
        <v>113</v>
      </c>
      <c r="G543" s="1" t="s">
        <v>148</v>
      </c>
      <c r="H543" s="1" t="s">
        <v>269</v>
      </c>
      <c r="I543" s="13"/>
      <c r="J543" s="84">
        <f>J544</f>
        <v>1000000</v>
      </c>
      <c r="K543" s="84">
        <f t="shared" si="325"/>
        <v>0</v>
      </c>
      <c r="L543" s="84">
        <f t="shared" si="325"/>
        <v>0</v>
      </c>
      <c r="M543" s="84">
        <f t="shared" si="325"/>
        <v>0</v>
      </c>
      <c r="N543" s="84">
        <f t="shared" si="325"/>
        <v>0</v>
      </c>
      <c r="O543" s="84">
        <f t="shared" si="325"/>
        <v>0</v>
      </c>
      <c r="P543" s="84">
        <f t="shared" si="286"/>
        <v>1000000</v>
      </c>
      <c r="Q543" s="84">
        <f t="shared" si="287"/>
        <v>0</v>
      </c>
      <c r="R543" s="84">
        <f t="shared" si="288"/>
        <v>0</v>
      </c>
    </row>
    <row r="544" spans="1:18" ht="25.5">
      <c r="A544" s="7" t="s">
        <v>120</v>
      </c>
      <c r="B544" s="1" t="s">
        <v>402</v>
      </c>
      <c r="C544" s="1" t="s">
        <v>16</v>
      </c>
      <c r="D544" s="1" t="s">
        <v>14</v>
      </c>
      <c r="E544" s="1" t="s">
        <v>27</v>
      </c>
      <c r="F544" s="1" t="s">
        <v>113</v>
      </c>
      <c r="G544" s="1" t="s">
        <v>148</v>
      </c>
      <c r="H544" s="1" t="s">
        <v>269</v>
      </c>
      <c r="I544" s="13" t="s">
        <v>118</v>
      </c>
      <c r="J544" s="84">
        <f>J545</f>
        <v>1000000</v>
      </c>
      <c r="K544" s="84">
        <f t="shared" si="325"/>
        <v>0</v>
      </c>
      <c r="L544" s="84">
        <f t="shared" si="325"/>
        <v>0</v>
      </c>
      <c r="M544" s="84">
        <f t="shared" si="325"/>
        <v>0</v>
      </c>
      <c r="N544" s="84">
        <f t="shared" si="325"/>
        <v>0</v>
      </c>
      <c r="O544" s="84">
        <f t="shared" si="325"/>
        <v>0</v>
      </c>
      <c r="P544" s="84">
        <f t="shared" si="286"/>
        <v>1000000</v>
      </c>
      <c r="Q544" s="84">
        <f t="shared" si="287"/>
        <v>0</v>
      </c>
      <c r="R544" s="84">
        <f t="shared" si="288"/>
        <v>0</v>
      </c>
    </row>
    <row r="545" spans="1:18">
      <c r="A545" s="7" t="s">
        <v>121</v>
      </c>
      <c r="B545" s="1" t="s">
        <v>402</v>
      </c>
      <c r="C545" s="1" t="s">
        <v>16</v>
      </c>
      <c r="D545" s="1" t="s">
        <v>14</v>
      </c>
      <c r="E545" s="1" t="s">
        <v>27</v>
      </c>
      <c r="F545" s="1" t="s">
        <v>113</v>
      </c>
      <c r="G545" s="1" t="s">
        <v>148</v>
      </c>
      <c r="H545" s="1" t="s">
        <v>269</v>
      </c>
      <c r="I545" s="13" t="s">
        <v>119</v>
      </c>
      <c r="J545" s="84">
        <v>1000000</v>
      </c>
      <c r="K545" s="84"/>
      <c r="L545" s="84"/>
      <c r="M545" s="84"/>
      <c r="N545" s="84"/>
      <c r="O545" s="84"/>
      <c r="P545" s="84">
        <f t="shared" si="286"/>
        <v>1000000</v>
      </c>
      <c r="Q545" s="84">
        <f t="shared" si="287"/>
        <v>0</v>
      </c>
      <c r="R545" s="84">
        <f t="shared" si="288"/>
        <v>0</v>
      </c>
    </row>
    <row r="546" spans="1:18">
      <c r="A546" s="2" t="s">
        <v>84</v>
      </c>
      <c r="B546" s="1" t="s">
        <v>402</v>
      </c>
      <c r="C546" s="1" t="s">
        <v>16</v>
      </c>
      <c r="D546" s="1" t="s">
        <v>14</v>
      </c>
      <c r="E546" s="1" t="s">
        <v>82</v>
      </c>
      <c r="F546" s="1" t="s">
        <v>70</v>
      </c>
      <c r="G546" s="1" t="s">
        <v>148</v>
      </c>
      <c r="H546" s="1" t="s">
        <v>149</v>
      </c>
      <c r="I546" s="13"/>
      <c r="J546" s="84">
        <f>+J547</f>
        <v>23108089</v>
      </c>
      <c r="K546" s="84">
        <f t="shared" ref="K546:O546" si="326">+K547</f>
        <v>24317200</v>
      </c>
      <c r="L546" s="84">
        <f t="shared" si="326"/>
        <v>25148300</v>
      </c>
      <c r="M546" s="84">
        <f t="shared" si="326"/>
        <v>9407967.2100000009</v>
      </c>
      <c r="N546" s="84">
        <f t="shared" si="326"/>
        <v>0</v>
      </c>
      <c r="O546" s="84">
        <f t="shared" si="326"/>
        <v>0</v>
      </c>
      <c r="P546" s="84">
        <f t="shared" si="286"/>
        <v>32516056.210000001</v>
      </c>
      <c r="Q546" s="84">
        <f t="shared" si="287"/>
        <v>24317200</v>
      </c>
      <c r="R546" s="84">
        <f t="shared" si="288"/>
        <v>25148300</v>
      </c>
    </row>
    <row r="547" spans="1:18" ht="38.25">
      <c r="A547" s="2" t="s">
        <v>350</v>
      </c>
      <c r="B547" s="1" t="s">
        <v>402</v>
      </c>
      <c r="C547" s="1" t="s">
        <v>16</v>
      </c>
      <c r="D547" s="1" t="s">
        <v>14</v>
      </c>
      <c r="E547" s="1" t="s">
        <v>82</v>
      </c>
      <c r="F547" s="1" t="s">
        <v>70</v>
      </c>
      <c r="G547" s="1" t="s">
        <v>148</v>
      </c>
      <c r="H547" s="1" t="s">
        <v>179</v>
      </c>
      <c r="I547" s="13"/>
      <c r="J547" s="84">
        <f>+J548+J550</f>
        <v>23108089</v>
      </c>
      <c r="K547" s="84">
        <f t="shared" ref="K547:O547" si="327">+K548+K550</f>
        <v>24317200</v>
      </c>
      <c r="L547" s="84">
        <f t="shared" si="327"/>
        <v>25148300</v>
      </c>
      <c r="M547" s="84">
        <f t="shared" si="327"/>
        <v>9407967.2100000009</v>
      </c>
      <c r="N547" s="84">
        <f t="shared" si="327"/>
        <v>0</v>
      </c>
      <c r="O547" s="84">
        <f t="shared" si="327"/>
        <v>0</v>
      </c>
      <c r="P547" s="84">
        <f t="shared" si="286"/>
        <v>32516056.210000001</v>
      </c>
      <c r="Q547" s="84">
        <f t="shared" si="287"/>
        <v>24317200</v>
      </c>
      <c r="R547" s="84">
        <f t="shared" si="288"/>
        <v>25148300</v>
      </c>
    </row>
    <row r="548" spans="1:18" ht="25.5">
      <c r="A548" s="80" t="s">
        <v>260</v>
      </c>
      <c r="B548" s="1" t="s">
        <v>402</v>
      </c>
      <c r="C548" s="1" t="s">
        <v>16</v>
      </c>
      <c r="D548" s="1" t="s">
        <v>14</v>
      </c>
      <c r="E548" s="1" t="s">
        <v>82</v>
      </c>
      <c r="F548" s="1" t="s">
        <v>70</v>
      </c>
      <c r="G548" s="1" t="s">
        <v>148</v>
      </c>
      <c r="H548" s="1" t="s">
        <v>179</v>
      </c>
      <c r="I548" s="13" t="s">
        <v>94</v>
      </c>
      <c r="J548" s="84">
        <f>J549</f>
        <v>23108089</v>
      </c>
      <c r="K548" s="84">
        <f t="shared" ref="K548:O548" si="328">K549</f>
        <v>24317200</v>
      </c>
      <c r="L548" s="84">
        <f t="shared" si="328"/>
        <v>25148300</v>
      </c>
      <c r="M548" s="84">
        <f t="shared" si="328"/>
        <v>7970967.21</v>
      </c>
      <c r="N548" s="84">
        <f t="shared" si="328"/>
        <v>0</v>
      </c>
      <c r="O548" s="84">
        <f t="shared" si="328"/>
        <v>0</v>
      </c>
      <c r="P548" s="84">
        <f t="shared" si="286"/>
        <v>31079056.210000001</v>
      </c>
      <c r="Q548" s="84">
        <f t="shared" si="287"/>
        <v>24317200</v>
      </c>
      <c r="R548" s="84">
        <f t="shared" si="288"/>
        <v>25148300</v>
      </c>
    </row>
    <row r="549" spans="1:18" ht="25.5">
      <c r="A549" s="78" t="s">
        <v>98</v>
      </c>
      <c r="B549" s="1" t="s">
        <v>402</v>
      </c>
      <c r="C549" s="1" t="s">
        <v>16</v>
      </c>
      <c r="D549" s="1" t="s">
        <v>14</v>
      </c>
      <c r="E549" s="1" t="s">
        <v>82</v>
      </c>
      <c r="F549" s="1" t="s">
        <v>70</v>
      </c>
      <c r="G549" s="1" t="s">
        <v>148</v>
      </c>
      <c r="H549" s="1" t="s">
        <v>179</v>
      </c>
      <c r="I549" s="13" t="s">
        <v>95</v>
      </c>
      <c r="J549" s="84">
        <v>23108089</v>
      </c>
      <c r="K549" s="84">
        <v>24317200</v>
      </c>
      <c r="L549" s="84">
        <v>25148300</v>
      </c>
      <c r="M549" s="84">
        <v>7970967.21</v>
      </c>
      <c r="N549" s="84"/>
      <c r="O549" s="84"/>
      <c r="P549" s="84">
        <f t="shared" si="286"/>
        <v>31079056.210000001</v>
      </c>
      <c r="Q549" s="84">
        <f t="shared" si="287"/>
        <v>24317200</v>
      </c>
      <c r="R549" s="84">
        <f t="shared" si="288"/>
        <v>25148300</v>
      </c>
    </row>
    <row r="550" spans="1:18" ht="25.5">
      <c r="A550" s="7" t="s">
        <v>120</v>
      </c>
      <c r="B550" s="1" t="s">
        <v>402</v>
      </c>
      <c r="C550" s="1" t="s">
        <v>16</v>
      </c>
      <c r="D550" s="1" t="s">
        <v>14</v>
      </c>
      <c r="E550" s="1" t="s">
        <v>82</v>
      </c>
      <c r="F550" s="1" t="s">
        <v>70</v>
      </c>
      <c r="G550" s="1" t="s">
        <v>148</v>
      </c>
      <c r="H550" s="1" t="s">
        <v>179</v>
      </c>
      <c r="I550" s="13" t="s">
        <v>118</v>
      </c>
      <c r="J550" s="84">
        <f>J551</f>
        <v>0</v>
      </c>
      <c r="K550" s="84">
        <f t="shared" ref="K550:O550" si="329">K551</f>
        <v>0</v>
      </c>
      <c r="L550" s="84">
        <f t="shared" si="329"/>
        <v>0</v>
      </c>
      <c r="M550" s="84">
        <f t="shared" si="329"/>
        <v>1437000</v>
      </c>
      <c r="N550" s="84">
        <f t="shared" si="329"/>
        <v>0</v>
      </c>
      <c r="O550" s="84">
        <f t="shared" si="329"/>
        <v>0</v>
      </c>
      <c r="P550" s="84">
        <f t="shared" ref="P550:P551" si="330">J550+M550</f>
        <v>1437000</v>
      </c>
      <c r="Q550" s="84">
        <f t="shared" ref="Q550:Q551" si="331">K550+N550</f>
        <v>0</v>
      </c>
      <c r="R550" s="84">
        <f t="shared" ref="R550:R551" si="332">L550+O550</f>
        <v>0</v>
      </c>
    </row>
    <row r="551" spans="1:18">
      <c r="A551" s="7" t="s">
        <v>121</v>
      </c>
      <c r="B551" s="1" t="s">
        <v>402</v>
      </c>
      <c r="C551" s="1" t="s">
        <v>16</v>
      </c>
      <c r="D551" s="1" t="s">
        <v>14</v>
      </c>
      <c r="E551" s="1" t="s">
        <v>82</v>
      </c>
      <c r="F551" s="1" t="s">
        <v>70</v>
      </c>
      <c r="G551" s="1" t="s">
        <v>148</v>
      </c>
      <c r="H551" s="1" t="s">
        <v>179</v>
      </c>
      <c r="I551" s="13" t="s">
        <v>119</v>
      </c>
      <c r="J551" s="84"/>
      <c r="K551" s="84"/>
      <c r="L551" s="84"/>
      <c r="M551" s="84">
        <v>1437000</v>
      </c>
      <c r="N551" s="84"/>
      <c r="O551" s="84"/>
      <c r="P551" s="84">
        <f t="shared" si="330"/>
        <v>1437000</v>
      </c>
      <c r="Q551" s="84">
        <f t="shared" si="331"/>
        <v>0</v>
      </c>
      <c r="R551" s="84">
        <f t="shared" si="332"/>
        <v>0</v>
      </c>
    </row>
    <row r="552" spans="1:18">
      <c r="A552" s="78"/>
      <c r="B552" s="1"/>
      <c r="C552" s="1"/>
      <c r="D552" s="1"/>
      <c r="E552" s="1"/>
      <c r="F552" s="1"/>
      <c r="G552" s="1"/>
      <c r="H552" s="1"/>
      <c r="I552" s="13"/>
      <c r="J552" s="84"/>
      <c r="K552" s="84"/>
      <c r="L552" s="84"/>
      <c r="M552" s="84"/>
      <c r="N552" s="84"/>
      <c r="O552" s="84"/>
      <c r="P552" s="84"/>
      <c r="Q552" s="84"/>
      <c r="R552" s="84"/>
    </row>
    <row r="553" spans="1:18">
      <c r="A553" s="4" t="s">
        <v>37</v>
      </c>
      <c r="B553" s="15" t="s">
        <v>402</v>
      </c>
      <c r="C553" s="15" t="s">
        <v>16</v>
      </c>
      <c r="D553" s="15" t="s">
        <v>31</v>
      </c>
      <c r="E553" s="15"/>
      <c r="F553" s="15"/>
      <c r="G553" s="15"/>
      <c r="H553" s="1"/>
      <c r="I553" s="13"/>
      <c r="J553" s="112">
        <f>J554+J564</f>
        <v>1764750</v>
      </c>
      <c r="K553" s="112">
        <f t="shared" ref="K553:L553" si="333">K554+K564</f>
        <v>224682</v>
      </c>
      <c r="L553" s="112">
        <f t="shared" si="333"/>
        <v>224682</v>
      </c>
      <c r="M553" s="112">
        <f t="shared" ref="M553:O553" si="334">M554+M564</f>
        <v>0</v>
      </c>
      <c r="N553" s="112">
        <f t="shared" si="334"/>
        <v>0</v>
      </c>
      <c r="O553" s="112">
        <f t="shared" si="334"/>
        <v>0</v>
      </c>
      <c r="P553" s="112">
        <f t="shared" ref="P553:P619" si="335">J553+M553</f>
        <v>1764750</v>
      </c>
      <c r="Q553" s="112">
        <f t="shared" ref="Q553:Q619" si="336">K553+N553</f>
        <v>224682</v>
      </c>
      <c r="R553" s="112">
        <f t="shared" ref="R553:R619" si="337">L553+O553</f>
        <v>224682</v>
      </c>
    </row>
    <row r="554" spans="1:18" ht="38.25">
      <c r="A554" s="2" t="s">
        <v>288</v>
      </c>
      <c r="B554" s="1" t="s">
        <v>402</v>
      </c>
      <c r="C554" s="1" t="s">
        <v>16</v>
      </c>
      <c r="D554" s="1" t="s">
        <v>31</v>
      </c>
      <c r="E554" s="1" t="s">
        <v>13</v>
      </c>
      <c r="F554" s="1" t="s">
        <v>70</v>
      </c>
      <c r="G554" s="1" t="s">
        <v>148</v>
      </c>
      <c r="H554" s="1" t="s">
        <v>149</v>
      </c>
      <c r="I554" s="13"/>
      <c r="J554" s="84">
        <f>J555+J558+J561</f>
        <v>264750</v>
      </c>
      <c r="K554" s="84">
        <f t="shared" ref="K554:L554" si="338">K555+K558+K561</f>
        <v>224682</v>
      </c>
      <c r="L554" s="84">
        <f t="shared" si="338"/>
        <v>224682</v>
      </c>
      <c r="M554" s="84">
        <f t="shared" ref="M554:O554" si="339">M555+M558+M561</f>
        <v>0</v>
      </c>
      <c r="N554" s="84">
        <f t="shared" si="339"/>
        <v>0</v>
      </c>
      <c r="O554" s="84">
        <f t="shared" si="339"/>
        <v>0</v>
      </c>
      <c r="P554" s="84">
        <f t="shared" si="335"/>
        <v>264750</v>
      </c>
      <c r="Q554" s="84">
        <f t="shared" si="336"/>
        <v>224682</v>
      </c>
      <c r="R554" s="84">
        <f t="shared" si="337"/>
        <v>224682</v>
      </c>
    </row>
    <row r="555" spans="1:18" ht="25.5">
      <c r="A555" s="11" t="s">
        <v>351</v>
      </c>
      <c r="B555" s="1" t="s">
        <v>402</v>
      </c>
      <c r="C555" s="1" t="s">
        <v>16</v>
      </c>
      <c r="D555" s="1" t="s">
        <v>31</v>
      </c>
      <c r="E555" s="1" t="s">
        <v>13</v>
      </c>
      <c r="F555" s="1" t="s">
        <v>70</v>
      </c>
      <c r="G555" s="1" t="s">
        <v>148</v>
      </c>
      <c r="H555" s="1" t="s">
        <v>186</v>
      </c>
      <c r="I555" s="13"/>
      <c r="J555" s="116">
        <f t="shared" ref="J555:O556" si="340">J556</f>
        <v>85000</v>
      </c>
      <c r="K555" s="116">
        <f t="shared" si="340"/>
        <v>85000</v>
      </c>
      <c r="L555" s="116">
        <f t="shared" si="340"/>
        <v>85000</v>
      </c>
      <c r="M555" s="116">
        <f t="shared" si="340"/>
        <v>0</v>
      </c>
      <c r="N555" s="116">
        <f t="shared" si="340"/>
        <v>0</v>
      </c>
      <c r="O555" s="116">
        <f t="shared" si="340"/>
        <v>0</v>
      </c>
      <c r="P555" s="116">
        <f t="shared" si="335"/>
        <v>85000</v>
      </c>
      <c r="Q555" s="116">
        <f t="shared" si="336"/>
        <v>85000</v>
      </c>
      <c r="R555" s="116">
        <f t="shared" si="337"/>
        <v>85000</v>
      </c>
    </row>
    <row r="556" spans="1:18">
      <c r="A556" s="2" t="s">
        <v>80</v>
      </c>
      <c r="B556" s="1" t="s">
        <v>402</v>
      </c>
      <c r="C556" s="1" t="s">
        <v>16</v>
      </c>
      <c r="D556" s="1" t="s">
        <v>31</v>
      </c>
      <c r="E556" s="1" t="s">
        <v>13</v>
      </c>
      <c r="F556" s="1" t="s">
        <v>70</v>
      </c>
      <c r="G556" s="1" t="s">
        <v>148</v>
      </c>
      <c r="H556" s="1" t="s">
        <v>186</v>
      </c>
      <c r="I556" s="13" t="s">
        <v>77</v>
      </c>
      <c r="J556" s="116">
        <f t="shared" si="340"/>
        <v>85000</v>
      </c>
      <c r="K556" s="116">
        <f t="shared" si="340"/>
        <v>85000</v>
      </c>
      <c r="L556" s="116">
        <f t="shared" si="340"/>
        <v>85000</v>
      </c>
      <c r="M556" s="116">
        <f t="shared" si="340"/>
        <v>0</v>
      </c>
      <c r="N556" s="116">
        <f t="shared" si="340"/>
        <v>0</v>
      </c>
      <c r="O556" s="116">
        <f t="shared" si="340"/>
        <v>0</v>
      </c>
      <c r="P556" s="116">
        <f t="shared" si="335"/>
        <v>85000</v>
      </c>
      <c r="Q556" s="116">
        <f t="shared" si="336"/>
        <v>85000</v>
      </c>
      <c r="R556" s="116">
        <f t="shared" si="337"/>
        <v>85000</v>
      </c>
    </row>
    <row r="557" spans="1:18" ht="28.5" customHeight="1">
      <c r="A557" s="7" t="s">
        <v>81</v>
      </c>
      <c r="B557" s="1" t="s">
        <v>402</v>
      </c>
      <c r="C557" s="1" t="s">
        <v>16</v>
      </c>
      <c r="D557" s="1" t="s">
        <v>31</v>
      </c>
      <c r="E557" s="1" t="s">
        <v>13</v>
      </c>
      <c r="F557" s="1" t="s">
        <v>70</v>
      </c>
      <c r="G557" s="1" t="s">
        <v>148</v>
      </c>
      <c r="H557" s="1" t="s">
        <v>186</v>
      </c>
      <c r="I557" s="13" t="s">
        <v>78</v>
      </c>
      <c r="J557" s="113">
        <v>85000</v>
      </c>
      <c r="K557" s="113">
        <v>85000</v>
      </c>
      <c r="L557" s="113">
        <v>85000</v>
      </c>
      <c r="M557" s="113"/>
      <c r="N557" s="113"/>
      <c r="O557" s="113"/>
      <c r="P557" s="113">
        <f t="shared" si="335"/>
        <v>85000</v>
      </c>
      <c r="Q557" s="113">
        <f t="shared" si="336"/>
        <v>85000</v>
      </c>
      <c r="R557" s="113">
        <f t="shared" si="337"/>
        <v>85000</v>
      </c>
    </row>
    <row r="558" spans="1:18">
      <c r="A558" s="7" t="s">
        <v>228</v>
      </c>
      <c r="B558" s="1" t="s">
        <v>402</v>
      </c>
      <c r="C558" s="1" t="s">
        <v>16</v>
      </c>
      <c r="D558" s="1" t="s">
        <v>31</v>
      </c>
      <c r="E558" s="1" t="s">
        <v>13</v>
      </c>
      <c r="F558" s="1" t="s">
        <v>70</v>
      </c>
      <c r="G558" s="1" t="s">
        <v>148</v>
      </c>
      <c r="H558" s="1" t="s">
        <v>227</v>
      </c>
      <c r="I558" s="13"/>
      <c r="J558" s="84">
        <f>J559</f>
        <v>50000</v>
      </c>
      <c r="K558" s="84">
        <f t="shared" ref="K558:O559" si="341">K559</f>
        <v>50000</v>
      </c>
      <c r="L558" s="84">
        <f t="shared" si="341"/>
        <v>50000</v>
      </c>
      <c r="M558" s="84">
        <f t="shared" si="341"/>
        <v>0</v>
      </c>
      <c r="N558" s="84">
        <f t="shared" si="341"/>
        <v>0</v>
      </c>
      <c r="O558" s="84">
        <f t="shared" si="341"/>
        <v>0</v>
      </c>
      <c r="P558" s="84">
        <f t="shared" si="335"/>
        <v>50000</v>
      </c>
      <c r="Q558" s="84">
        <f t="shared" si="336"/>
        <v>50000</v>
      </c>
      <c r="R558" s="84">
        <f t="shared" si="337"/>
        <v>50000</v>
      </c>
    </row>
    <row r="559" spans="1:18">
      <c r="A559" s="2" t="s">
        <v>80</v>
      </c>
      <c r="B559" s="1" t="s">
        <v>402</v>
      </c>
      <c r="C559" s="1" t="s">
        <v>16</v>
      </c>
      <c r="D559" s="1" t="s">
        <v>31</v>
      </c>
      <c r="E559" s="1" t="s">
        <v>13</v>
      </c>
      <c r="F559" s="1" t="s">
        <v>70</v>
      </c>
      <c r="G559" s="1" t="s">
        <v>148</v>
      </c>
      <c r="H559" s="1" t="s">
        <v>227</v>
      </c>
      <c r="I559" s="13" t="s">
        <v>77</v>
      </c>
      <c r="J559" s="84">
        <f>J560</f>
        <v>50000</v>
      </c>
      <c r="K559" s="84">
        <f t="shared" si="341"/>
        <v>50000</v>
      </c>
      <c r="L559" s="84">
        <f t="shared" si="341"/>
        <v>50000</v>
      </c>
      <c r="M559" s="84">
        <f t="shared" si="341"/>
        <v>0</v>
      </c>
      <c r="N559" s="84">
        <f t="shared" si="341"/>
        <v>0</v>
      </c>
      <c r="O559" s="84">
        <f t="shared" si="341"/>
        <v>0</v>
      </c>
      <c r="P559" s="84">
        <f t="shared" si="335"/>
        <v>50000</v>
      </c>
      <c r="Q559" s="84">
        <f t="shared" si="336"/>
        <v>50000</v>
      </c>
      <c r="R559" s="84">
        <f t="shared" si="337"/>
        <v>50000</v>
      </c>
    </row>
    <row r="560" spans="1:18" ht="25.5">
      <c r="A560" s="7" t="s">
        <v>81</v>
      </c>
      <c r="B560" s="1" t="s">
        <v>402</v>
      </c>
      <c r="C560" s="1" t="s">
        <v>16</v>
      </c>
      <c r="D560" s="1" t="s">
        <v>31</v>
      </c>
      <c r="E560" s="1" t="s">
        <v>13</v>
      </c>
      <c r="F560" s="1" t="s">
        <v>70</v>
      </c>
      <c r="G560" s="1" t="s">
        <v>148</v>
      </c>
      <c r="H560" s="1" t="s">
        <v>227</v>
      </c>
      <c r="I560" s="13" t="s">
        <v>78</v>
      </c>
      <c r="J560" s="84">
        <v>50000</v>
      </c>
      <c r="K560" s="84">
        <v>50000</v>
      </c>
      <c r="L560" s="84">
        <v>50000</v>
      </c>
      <c r="M560" s="84"/>
      <c r="N560" s="84"/>
      <c r="O560" s="84"/>
      <c r="P560" s="84">
        <f t="shared" si="335"/>
        <v>50000</v>
      </c>
      <c r="Q560" s="84">
        <f t="shared" si="336"/>
        <v>50000</v>
      </c>
      <c r="R560" s="84">
        <f t="shared" si="337"/>
        <v>50000</v>
      </c>
    </row>
    <row r="561" spans="1:18" ht="25.5">
      <c r="A561" s="7" t="s">
        <v>300</v>
      </c>
      <c r="B561" s="1" t="s">
        <v>402</v>
      </c>
      <c r="C561" s="1" t="s">
        <v>16</v>
      </c>
      <c r="D561" s="1" t="s">
        <v>31</v>
      </c>
      <c r="E561" s="1" t="s">
        <v>13</v>
      </c>
      <c r="F561" s="1" t="s">
        <v>70</v>
      </c>
      <c r="G561" s="1" t="s">
        <v>148</v>
      </c>
      <c r="H561" s="1" t="s">
        <v>220</v>
      </c>
      <c r="I561" s="13"/>
      <c r="J561" s="113">
        <f>J562</f>
        <v>129750</v>
      </c>
      <c r="K561" s="113">
        <f t="shared" ref="K561:O562" si="342">K562</f>
        <v>89682</v>
      </c>
      <c r="L561" s="113">
        <f t="shared" si="342"/>
        <v>89682</v>
      </c>
      <c r="M561" s="113">
        <f t="shared" si="342"/>
        <v>0</v>
      </c>
      <c r="N561" s="113">
        <f t="shared" si="342"/>
        <v>0</v>
      </c>
      <c r="O561" s="113">
        <f t="shared" si="342"/>
        <v>0</v>
      </c>
      <c r="P561" s="113">
        <f t="shared" si="335"/>
        <v>129750</v>
      </c>
      <c r="Q561" s="113">
        <f t="shared" si="336"/>
        <v>89682</v>
      </c>
      <c r="R561" s="113">
        <f t="shared" si="337"/>
        <v>89682</v>
      </c>
    </row>
    <row r="562" spans="1:18">
      <c r="A562" s="2" t="s">
        <v>80</v>
      </c>
      <c r="B562" s="1" t="s">
        <v>402</v>
      </c>
      <c r="C562" s="1" t="s">
        <v>16</v>
      </c>
      <c r="D562" s="1" t="s">
        <v>31</v>
      </c>
      <c r="E562" s="1" t="s">
        <v>13</v>
      </c>
      <c r="F562" s="1" t="s">
        <v>70</v>
      </c>
      <c r="G562" s="1" t="s">
        <v>148</v>
      </c>
      <c r="H562" s="1" t="s">
        <v>220</v>
      </c>
      <c r="I562" s="13" t="s">
        <v>77</v>
      </c>
      <c r="J562" s="113">
        <f>J563</f>
        <v>129750</v>
      </c>
      <c r="K562" s="113">
        <f t="shared" si="342"/>
        <v>89682</v>
      </c>
      <c r="L562" s="113">
        <f t="shared" si="342"/>
        <v>89682</v>
      </c>
      <c r="M562" s="113">
        <f t="shared" si="342"/>
        <v>0</v>
      </c>
      <c r="N562" s="113">
        <f t="shared" si="342"/>
        <v>0</v>
      </c>
      <c r="O562" s="113">
        <f t="shared" si="342"/>
        <v>0</v>
      </c>
      <c r="P562" s="113">
        <f t="shared" si="335"/>
        <v>129750</v>
      </c>
      <c r="Q562" s="113">
        <f t="shared" si="336"/>
        <v>89682</v>
      </c>
      <c r="R562" s="113">
        <f t="shared" si="337"/>
        <v>89682</v>
      </c>
    </row>
    <row r="563" spans="1:18" ht="25.5">
      <c r="A563" s="7" t="s">
        <v>81</v>
      </c>
      <c r="B563" s="1" t="s">
        <v>402</v>
      </c>
      <c r="C563" s="1" t="s">
        <v>16</v>
      </c>
      <c r="D563" s="1" t="s">
        <v>31</v>
      </c>
      <c r="E563" s="1" t="s">
        <v>13</v>
      </c>
      <c r="F563" s="1" t="s">
        <v>70</v>
      </c>
      <c r="G563" s="1" t="s">
        <v>148</v>
      </c>
      <c r="H563" s="1" t="s">
        <v>220</v>
      </c>
      <c r="I563" s="13" t="s">
        <v>78</v>
      </c>
      <c r="J563" s="113">
        <v>129750</v>
      </c>
      <c r="K563" s="113">
        <v>89682</v>
      </c>
      <c r="L563" s="113">
        <v>89682</v>
      </c>
      <c r="M563" s="113"/>
      <c r="N563" s="113"/>
      <c r="O563" s="113"/>
      <c r="P563" s="113">
        <f t="shared" si="335"/>
        <v>129750</v>
      </c>
      <c r="Q563" s="113">
        <f t="shared" si="336"/>
        <v>89682</v>
      </c>
      <c r="R563" s="113">
        <f t="shared" si="337"/>
        <v>89682</v>
      </c>
    </row>
    <row r="564" spans="1:18" ht="25.5">
      <c r="A564" s="7" t="s">
        <v>353</v>
      </c>
      <c r="B564" s="1" t="s">
        <v>402</v>
      </c>
      <c r="C564" s="1" t="s">
        <v>16</v>
      </c>
      <c r="D564" s="1" t="s">
        <v>31</v>
      </c>
      <c r="E564" s="1" t="s">
        <v>82</v>
      </c>
      <c r="F564" s="1" t="s">
        <v>70</v>
      </c>
      <c r="G564" s="1" t="s">
        <v>148</v>
      </c>
      <c r="H564" s="1" t="s">
        <v>149</v>
      </c>
      <c r="I564" s="13"/>
      <c r="J564" s="113">
        <f>J565</f>
        <v>1500000</v>
      </c>
      <c r="K564" s="113">
        <f t="shared" ref="K564:O566" si="343">K565</f>
        <v>0</v>
      </c>
      <c r="L564" s="113">
        <f t="shared" si="343"/>
        <v>0</v>
      </c>
      <c r="M564" s="113">
        <f t="shared" si="343"/>
        <v>0</v>
      </c>
      <c r="N564" s="113">
        <f t="shared" si="343"/>
        <v>0</v>
      </c>
      <c r="O564" s="113">
        <f t="shared" si="343"/>
        <v>0</v>
      </c>
      <c r="P564" s="113">
        <f t="shared" si="335"/>
        <v>1500000</v>
      </c>
      <c r="Q564" s="113">
        <f t="shared" si="336"/>
        <v>0</v>
      </c>
      <c r="R564" s="113">
        <f t="shared" si="337"/>
        <v>0</v>
      </c>
    </row>
    <row r="565" spans="1:18" ht="25.5">
      <c r="A565" s="7" t="s">
        <v>353</v>
      </c>
      <c r="B565" s="1" t="s">
        <v>402</v>
      </c>
      <c r="C565" s="1" t="s">
        <v>16</v>
      </c>
      <c r="D565" s="1" t="s">
        <v>31</v>
      </c>
      <c r="E565" s="1" t="s">
        <v>82</v>
      </c>
      <c r="F565" s="1" t="s">
        <v>70</v>
      </c>
      <c r="G565" s="1" t="s">
        <v>148</v>
      </c>
      <c r="H565" s="1" t="s">
        <v>352</v>
      </c>
      <c r="I565" s="13"/>
      <c r="J565" s="113">
        <f>J566</f>
        <v>1500000</v>
      </c>
      <c r="K565" s="113">
        <f t="shared" si="343"/>
        <v>0</v>
      </c>
      <c r="L565" s="113">
        <f t="shared" si="343"/>
        <v>0</v>
      </c>
      <c r="M565" s="113">
        <f t="shared" si="343"/>
        <v>0</v>
      </c>
      <c r="N565" s="113">
        <f t="shared" si="343"/>
        <v>0</v>
      </c>
      <c r="O565" s="113">
        <f t="shared" si="343"/>
        <v>0</v>
      </c>
      <c r="P565" s="113">
        <f t="shared" si="335"/>
        <v>1500000</v>
      </c>
      <c r="Q565" s="113">
        <f t="shared" si="336"/>
        <v>0</v>
      </c>
      <c r="R565" s="113">
        <f t="shared" si="337"/>
        <v>0</v>
      </c>
    </row>
    <row r="566" spans="1:18" ht="25.5">
      <c r="A566" s="80" t="s">
        <v>260</v>
      </c>
      <c r="B566" s="1" t="s">
        <v>402</v>
      </c>
      <c r="C566" s="1" t="s">
        <v>16</v>
      </c>
      <c r="D566" s="1" t="s">
        <v>31</v>
      </c>
      <c r="E566" s="1" t="s">
        <v>82</v>
      </c>
      <c r="F566" s="1" t="s">
        <v>70</v>
      </c>
      <c r="G566" s="1" t="s">
        <v>148</v>
      </c>
      <c r="H566" s="1" t="s">
        <v>352</v>
      </c>
      <c r="I566" s="13" t="s">
        <v>94</v>
      </c>
      <c r="J566" s="113">
        <f>J567</f>
        <v>1500000</v>
      </c>
      <c r="K566" s="113">
        <f t="shared" si="343"/>
        <v>0</v>
      </c>
      <c r="L566" s="113">
        <f t="shared" si="343"/>
        <v>0</v>
      </c>
      <c r="M566" s="113">
        <f t="shared" si="343"/>
        <v>0</v>
      </c>
      <c r="N566" s="113">
        <f t="shared" si="343"/>
        <v>0</v>
      </c>
      <c r="O566" s="113">
        <f t="shared" si="343"/>
        <v>0</v>
      </c>
      <c r="P566" s="113">
        <f t="shared" si="335"/>
        <v>1500000</v>
      </c>
      <c r="Q566" s="113">
        <f t="shared" si="336"/>
        <v>0</v>
      </c>
      <c r="R566" s="113">
        <f t="shared" si="337"/>
        <v>0</v>
      </c>
    </row>
    <row r="567" spans="1:18" ht="25.5">
      <c r="A567" s="78" t="s">
        <v>98</v>
      </c>
      <c r="B567" s="1" t="s">
        <v>402</v>
      </c>
      <c r="C567" s="1" t="s">
        <v>16</v>
      </c>
      <c r="D567" s="1" t="s">
        <v>31</v>
      </c>
      <c r="E567" s="1" t="s">
        <v>82</v>
      </c>
      <c r="F567" s="1" t="s">
        <v>70</v>
      </c>
      <c r="G567" s="1" t="s">
        <v>148</v>
      </c>
      <c r="H567" s="1" t="s">
        <v>352</v>
      </c>
      <c r="I567" s="13" t="s">
        <v>95</v>
      </c>
      <c r="J567" s="113">
        <v>1500000</v>
      </c>
      <c r="K567" s="113"/>
      <c r="L567" s="113"/>
      <c r="M567" s="113"/>
      <c r="N567" s="113"/>
      <c r="O567" s="113"/>
      <c r="P567" s="113">
        <f t="shared" si="335"/>
        <v>1500000</v>
      </c>
      <c r="Q567" s="113">
        <f t="shared" si="336"/>
        <v>0</v>
      </c>
      <c r="R567" s="113">
        <f t="shared" si="337"/>
        <v>0</v>
      </c>
    </row>
    <row r="568" spans="1:18">
      <c r="A568" s="7"/>
      <c r="B568" s="1"/>
      <c r="C568" s="1"/>
      <c r="D568" s="1"/>
      <c r="E568" s="1"/>
      <c r="F568" s="1"/>
      <c r="G568" s="1"/>
      <c r="H568" s="1"/>
      <c r="I568" s="13"/>
      <c r="J568" s="84"/>
      <c r="K568" s="84"/>
      <c r="L568" s="84"/>
      <c r="M568" s="84"/>
      <c r="N568" s="84"/>
      <c r="O568" s="84"/>
      <c r="P568" s="84"/>
      <c r="Q568" s="84"/>
      <c r="R568" s="84"/>
    </row>
    <row r="569" spans="1:18" ht="15.75">
      <c r="A569" s="34" t="s">
        <v>46</v>
      </c>
      <c r="B569" s="30" t="s">
        <v>402</v>
      </c>
      <c r="C569" s="30" t="s">
        <v>18</v>
      </c>
      <c r="D569" s="30"/>
      <c r="E569" s="30"/>
      <c r="F569" s="30"/>
      <c r="G569" s="30"/>
      <c r="H569" s="30"/>
      <c r="I569" s="33"/>
      <c r="J569" s="111">
        <f t="shared" ref="J569:O569" si="344">J570+J591+J616</f>
        <v>50178822.200000003</v>
      </c>
      <c r="K569" s="111">
        <f t="shared" si="344"/>
        <v>25825224.580000002</v>
      </c>
      <c r="L569" s="111">
        <f t="shared" si="344"/>
        <v>25752142.93</v>
      </c>
      <c r="M569" s="111">
        <f t="shared" si="344"/>
        <v>4050770.67</v>
      </c>
      <c r="N569" s="111">
        <f t="shared" si="344"/>
        <v>2338432.4499999997</v>
      </c>
      <c r="O569" s="111">
        <f t="shared" si="344"/>
        <v>114360.81</v>
      </c>
      <c r="P569" s="111">
        <f t="shared" si="335"/>
        <v>54229592.870000005</v>
      </c>
      <c r="Q569" s="111">
        <f t="shared" si="336"/>
        <v>28163657.030000001</v>
      </c>
      <c r="R569" s="111">
        <f t="shared" si="337"/>
        <v>25866503.739999998</v>
      </c>
    </row>
    <row r="570" spans="1:18">
      <c r="A570" s="19" t="s">
        <v>61</v>
      </c>
      <c r="B570" s="15" t="s">
        <v>402</v>
      </c>
      <c r="C570" s="15" t="s">
        <v>18</v>
      </c>
      <c r="D570" s="15" t="s">
        <v>20</v>
      </c>
      <c r="E570" s="15"/>
      <c r="F570" s="15"/>
      <c r="G570" s="15"/>
      <c r="H570" s="15"/>
      <c r="I570" s="27"/>
      <c r="J570" s="112">
        <f>J571+J586</f>
        <v>12152137.199999999</v>
      </c>
      <c r="K570" s="112">
        <f t="shared" ref="K570:O570" si="345">K571+K586</f>
        <v>0</v>
      </c>
      <c r="L570" s="112">
        <f t="shared" si="345"/>
        <v>0</v>
      </c>
      <c r="M570" s="112">
        <f t="shared" si="345"/>
        <v>105733</v>
      </c>
      <c r="N570" s="112">
        <f t="shared" si="345"/>
        <v>109962.32</v>
      </c>
      <c r="O570" s="112">
        <f t="shared" si="345"/>
        <v>114360.81</v>
      </c>
      <c r="P570" s="112">
        <f t="shared" si="335"/>
        <v>12257870.199999999</v>
      </c>
      <c r="Q570" s="112">
        <f t="shared" si="336"/>
        <v>109962.32</v>
      </c>
      <c r="R570" s="112">
        <f t="shared" si="337"/>
        <v>114360.81</v>
      </c>
    </row>
    <row r="571" spans="1:18" ht="38.25">
      <c r="A571" s="2" t="s">
        <v>289</v>
      </c>
      <c r="B571" s="1" t="s">
        <v>402</v>
      </c>
      <c r="C571" s="1" t="s">
        <v>18</v>
      </c>
      <c r="D571" s="1" t="s">
        <v>20</v>
      </c>
      <c r="E571" s="1" t="s">
        <v>27</v>
      </c>
      <c r="F571" s="1" t="s">
        <v>70</v>
      </c>
      <c r="G571" s="1" t="s">
        <v>148</v>
      </c>
      <c r="H571" s="1" t="s">
        <v>149</v>
      </c>
      <c r="I571" s="13"/>
      <c r="J571" s="84">
        <f>J572</f>
        <v>12152137.199999999</v>
      </c>
      <c r="K571" s="84">
        <f t="shared" ref="K571:O571" si="346">K572</f>
        <v>0</v>
      </c>
      <c r="L571" s="84">
        <f t="shared" si="346"/>
        <v>0</v>
      </c>
      <c r="M571" s="84">
        <f t="shared" si="346"/>
        <v>0</v>
      </c>
      <c r="N571" s="84">
        <f t="shared" si="346"/>
        <v>0</v>
      </c>
      <c r="O571" s="84">
        <f t="shared" si="346"/>
        <v>0</v>
      </c>
      <c r="P571" s="84">
        <f t="shared" si="335"/>
        <v>12152137.199999999</v>
      </c>
      <c r="Q571" s="84">
        <f t="shared" si="336"/>
        <v>0</v>
      </c>
      <c r="R571" s="84">
        <f t="shared" si="337"/>
        <v>0</v>
      </c>
    </row>
    <row r="572" spans="1:18">
      <c r="A572" s="7" t="s">
        <v>215</v>
      </c>
      <c r="B572" s="1" t="s">
        <v>402</v>
      </c>
      <c r="C572" s="1" t="s">
        <v>18</v>
      </c>
      <c r="D572" s="1" t="s">
        <v>20</v>
      </c>
      <c r="E572" s="1" t="s">
        <v>27</v>
      </c>
      <c r="F572" s="1" t="s">
        <v>127</v>
      </c>
      <c r="G572" s="1" t="s">
        <v>148</v>
      </c>
      <c r="H572" s="1" t="s">
        <v>149</v>
      </c>
      <c r="I572" s="13"/>
      <c r="J572" s="84">
        <f>J573+J576+J581</f>
        <v>12152137.199999999</v>
      </c>
      <c r="K572" s="84">
        <f t="shared" ref="K572:L572" si="347">K573+K576+K581</f>
        <v>0</v>
      </c>
      <c r="L572" s="84">
        <f t="shared" si="347"/>
        <v>0</v>
      </c>
      <c r="M572" s="84">
        <f t="shared" ref="M572:O572" si="348">M573+M576+M581</f>
        <v>0</v>
      </c>
      <c r="N572" s="84">
        <f t="shared" si="348"/>
        <v>0</v>
      </c>
      <c r="O572" s="84">
        <f t="shared" si="348"/>
        <v>0</v>
      </c>
      <c r="P572" s="84">
        <f t="shared" si="335"/>
        <v>12152137.199999999</v>
      </c>
      <c r="Q572" s="84">
        <f t="shared" si="336"/>
        <v>0</v>
      </c>
      <c r="R572" s="84">
        <f t="shared" si="337"/>
        <v>0</v>
      </c>
    </row>
    <row r="573" spans="1:18">
      <c r="A573" s="7" t="s">
        <v>355</v>
      </c>
      <c r="B573" s="1" t="s">
        <v>402</v>
      </c>
      <c r="C573" s="1" t="s">
        <v>18</v>
      </c>
      <c r="D573" s="1" t="s">
        <v>20</v>
      </c>
      <c r="E573" s="1" t="s">
        <v>27</v>
      </c>
      <c r="F573" s="1" t="s">
        <v>127</v>
      </c>
      <c r="G573" s="1" t="s">
        <v>148</v>
      </c>
      <c r="H573" s="1" t="s">
        <v>354</v>
      </c>
      <c r="I573" s="13"/>
      <c r="J573" s="84">
        <f>J574</f>
        <v>1500000</v>
      </c>
      <c r="K573" s="84">
        <f t="shared" ref="K573:O574" si="349">K574</f>
        <v>0</v>
      </c>
      <c r="L573" s="84">
        <f t="shared" si="349"/>
        <v>0</v>
      </c>
      <c r="M573" s="84">
        <f t="shared" si="349"/>
        <v>0</v>
      </c>
      <c r="N573" s="84">
        <f t="shared" si="349"/>
        <v>0</v>
      </c>
      <c r="O573" s="84">
        <f t="shared" si="349"/>
        <v>0</v>
      </c>
      <c r="P573" s="84">
        <f t="shared" si="335"/>
        <v>1500000</v>
      </c>
      <c r="Q573" s="84">
        <f t="shared" si="336"/>
        <v>0</v>
      </c>
      <c r="R573" s="84">
        <f t="shared" si="337"/>
        <v>0</v>
      </c>
    </row>
    <row r="574" spans="1:18" ht="25.5">
      <c r="A574" s="80" t="s">
        <v>260</v>
      </c>
      <c r="B574" s="1" t="s">
        <v>402</v>
      </c>
      <c r="C574" s="1" t="s">
        <v>18</v>
      </c>
      <c r="D574" s="1" t="s">
        <v>20</v>
      </c>
      <c r="E574" s="1" t="s">
        <v>27</v>
      </c>
      <c r="F574" s="1" t="s">
        <v>127</v>
      </c>
      <c r="G574" s="1" t="s">
        <v>148</v>
      </c>
      <c r="H574" s="1" t="s">
        <v>354</v>
      </c>
      <c r="I574" s="13" t="s">
        <v>94</v>
      </c>
      <c r="J574" s="84">
        <f>J575</f>
        <v>1500000</v>
      </c>
      <c r="K574" s="84">
        <f t="shared" si="349"/>
        <v>0</v>
      </c>
      <c r="L574" s="84">
        <f t="shared" si="349"/>
        <v>0</v>
      </c>
      <c r="M574" s="84">
        <f t="shared" si="349"/>
        <v>0</v>
      </c>
      <c r="N574" s="84">
        <f t="shared" si="349"/>
        <v>0</v>
      </c>
      <c r="O574" s="84">
        <f t="shared" si="349"/>
        <v>0</v>
      </c>
      <c r="P574" s="84">
        <f t="shared" si="335"/>
        <v>1500000</v>
      </c>
      <c r="Q574" s="84">
        <f t="shared" si="336"/>
        <v>0</v>
      </c>
      <c r="R574" s="84">
        <f t="shared" si="337"/>
        <v>0</v>
      </c>
    </row>
    <row r="575" spans="1:18" ht="25.5">
      <c r="A575" s="78" t="s">
        <v>98</v>
      </c>
      <c r="B575" s="1" t="s">
        <v>402</v>
      </c>
      <c r="C575" s="1" t="s">
        <v>18</v>
      </c>
      <c r="D575" s="1" t="s">
        <v>20</v>
      </c>
      <c r="E575" s="1" t="s">
        <v>27</v>
      </c>
      <c r="F575" s="1" t="s">
        <v>127</v>
      </c>
      <c r="G575" s="1" t="s">
        <v>148</v>
      </c>
      <c r="H575" s="1" t="s">
        <v>354</v>
      </c>
      <c r="I575" s="13" t="s">
        <v>95</v>
      </c>
      <c r="J575" s="84">
        <v>1500000</v>
      </c>
      <c r="K575" s="84"/>
      <c r="L575" s="84"/>
      <c r="M575" s="84"/>
      <c r="N575" s="84"/>
      <c r="O575" s="84"/>
      <c r="P575" s="84">
        <f t="shared" si="335"/>
        <v>1500000</v>
      </c>
      <c r="Q575" s="84">
        <f t="shared" si="336"/>
        <v>0</v>
      </c>
      <c r="R575" s="84">
        <f t="shared" si="337"/>
        <v>0</v>
      </c>
    </row>
    <row r="576" spans="1:18" ht="65.25" customHeight="1">
      <c r="A576" s="142" t="s">
        <v>255</v>
      </c>
      <c r="B576" s="1" t="s">
        <v>402</v>
      </c>
      <c r="C576" s="60" t="s">
        <v>18</v>
      </c>
      <c r="D576" s="60" t="s">
        <v>20</v>
      </c>
      <c r="E576" s="60" t="s">
        <v>27</v>
      </c>
      <c r="F576" s="60" t="s">
        <v>127</v>
      </c>
      <c r="G576" s="60" t="s">
        <v>256</v>
      </c>
      <c r="H576" s="60" t="s">
        <v>257</v>
      </c>
      <c r="I576" s="129"/>
      <c r="J576" s="84">
        <f>J577+J579</f>
        <v>10449544</v>
      </c>
      <c r="K576" s="84">
        <f t="shared" ref="K576:L576" si="350">K577+K579</f>
        <v>0</v>
      </c>
      <c r="L576" s="84">
        <f t="shared" si="350"/>
        <v>0</v>
      </c>
      <c r="M576" s="84">
        <f t="shared" ref="M576:O576" si="351">M577+M579</f>
        <v>0</v>
      </c>
      <c r="N576" s="84">
        <f t="shared" si="351"/>
        <v>0</v>
      </c>
      <c r="O576" s="84">
        <f t="shared" si="351"/>
        <v>0</v>
      </c>
      <c r="P576" s="84">
        <f t="shared" si="335"/>
        <v>10449544</v>
      </c>
      <c r="Q576" s="84">
        <f t="shared" si="336"/>
        <v>0</v>
      </c>
      <c r="R576" s="84">
        <f t="shared" si="337"/>
        <v>0</v>
      </c>
    </row>
    <row r="577" spans="1:18" ht="25.5">
      <c r="A577" s="7" t="s">
        <v>120</v>
      </c>
      <c r="B577" s="1" t="s">
        <v>402</v>
      </c>
      <c r="C577" s="60" t="s">
        <v>18</v>
      </c>
      <c r="D577" s="60" t="s">
        <v>20</v>
      </c>
      <c r="E577" s="60" t="s">
        <v>27</v>
      </c>
      <c r="F577" s="60" t="s">
        <v>127</v>
      </c>
      <c r="G577" s="60" t="s">
        <v>256</v>
      </c>
      <c r="H577" s="60" t="s">
        <v>257</v>
      </c>
      <c r="I577" s="129" t="s">
        <v>118</v>
      </c>
      <c r="J577" s="84">
        <f>J578</f>
        <v>9299544</v>
      </c>
      <c r="K577" s="84">
        <f t="shared" ref="K577:O577" si="352">K578</f>
        <v>0</v>
      </c>
      <c r="L577" s="84">
        <f t="shared" si="352"/>
        <v>0</v>
      </c>
      <c r="M577" s="84">
        <f t="shared" si="352"/>
        <v>0</v>
      </c>
      <c r="N577" s="84">
        <f t="shared" si="352"/>
        <v>0</v>
      </c>
      <c r="O577" s="84">
        <f t="shared" si="352"/>
        <v>0</v>
      </c>
      <c r="P577" s="84">
        <f t="shared" si="335"/>
        <v>9299544</v>
      </c>
      <c r="Q577" s="84">
        <f t="shared" si="336"/>
        <v>0</v>
      </c>
      <c r="R577" s="84">
        <f t="shared" si="337"/>
        <v>0</v>
      </c>
    </row>
    <row r="578" spans="1:18">
      <c r="A578" s="7" t="s">
        <v>121</v>
      </c>
      <c r="B578" s="1" t="s">
        <v>402</v>
      </c>
      <c r="C578" s="60" t="s">
        <v>18</v>
      </c>
      <c r="D578" s="60" t="s">
        <v>20</v>
      </c>
      <c r="E578" s="60" t="s">
        <v>27</v>
      </c>
      <c r="F578" s="60" t="s">
        <v>127</v>
      </c>
      <c r="G578" s="60" t="s">
        <v>256</v>
      </c>
      <c r="H578" s="60" t="s">
        <v>257</v>
      </c>
      <c r="I578" s="129" t="s">
        <v>119</v>
      </c>
      <c r="J578" s="84">
        <v>9299544</v>
      </c>
      <c r="K578" s="84"/>
      <c r="L578" s="84"/>
      <c r="M578" s="84"/>
      <c r="N578" s="84"/>
      <c r="O578" s="84"/>
      <c r="P578" s="84">
        <f t="shared" si="335"/>
        <v>9299544</v>
      </c>
      <c r="Q578" s="84">
        <f t="shared" si="336"/>
        <v>0</v>
      </c>
      <c r="R578" s="84">
        <f t="shared" si="337"/>
        <v>0</v>
      </c>
    </row>
    <row r="579" spans="1:18">
      <c r="A579" s="78" t="s">
        <v>80</v>
      </c>
      <c r="B579" s="1" t="s">
        <v>402</v>
      </c>
      <c r="C579" s="60" t="s">
        <v>18</v>
      </c>
      <c r="D579" s="60" t="s">
        <v>20</v>
      </c>
      <c r="E579" s="60" t="s">
        <v>27</v>
      </c>
      <c r="F579" s="60" t="s">
        <v>127</v>
      </c>
      <c r="G579" s="60" t="s">
        <v>256</v>
      </c>
      <c r="H579" s="60" t="s">
        <v>257</v>
      </c>
      <c r="I579" s="129" t="s">
        <v>77</v>
      </c>
      <c r="J579" s="84">
        <f>J580</f>
        <v>1150000</v>
      </c>
      <c r="K579" s="84">
        <f t="shared" ref="K579:O579" si="353">K580</f>
        <v>0</v>
      </c>
      <c r="L579" s="84">
        <f t="shared" si="353"/>
        <v>0</v>
      </c>
      <c r="M579" s="84">
        <f t="shared" si="353"/>
        <v>0</v>
      </c>
      <c r="N579" s="84">
        <f t="shared" si="353"/>
        <v>0</v>
      </c>
      <c r="O579" s="84">
        <f t="shared" si="353"/>
        <v>0</v>
      </c>
      <c r="P579" s="84">
        <f t="shared" si="335"/>
        <v>1150000</v>
      </c>
      <c r="Q579" s="84">
        <f t="shared" si="336"/>
        <v>0</v>
      </c>
      <c r="R579" s="84">
        <f t="shared" si="337"/>
        <v>0</v>
      </c>
    </row>
    <row r="580" spans="1:18">
      <c r="A580" s="83" t="s">
        <v>125</v>
      </c>
      <c r="B580" s="1" t="s">
        <v>402</v>
      </c>
      <c r="C580" s="60" t="s">
        <v>18</v>
      </c>
      <c r="D580" s="60" t="s">
        <v>20</v>
      </c>
      <c r="E580" s="60" t="s">
        <v>27</v>
      </c>
      <c r="F580" s="60" t="s">
        <v>127</v>
      </c>
      <c r="G580" s="60" t="s">
        <v>256</v>
      </c>
      <c r="H580" s="60" t="s">
        <v>257</v>
      </c>
      <c r="I580" s="129" t="s">
        <v>124</v>
      </c>
      <c r="J580" s="84">
        <v>1150000</v>
      </c>
      <c r="K580" s="84"/>
      <c r="L580" s="84"/>
      <c r="M580" s="84"/>
      <c r="N580" s="84"/>
      <c r="O580" s="84"/>
      <c r="P580" s="84">
        <f t="shared" si="335"/>
        <v>1150000</v>
      </c>
      <c r="Q580" s="84">
        <f t="shared" si="336"/>
        <v>0</v>
      </c>
      <c r="R580" s="84">
        <f t="shared" si="337"/>
        <v>0</v>
      </c>
    </row>
    <row r="581" spans="1:18" ht="52.5" customHeight="1">
      <c r="A581" s="142" t="s">
        <v>258</v>
      </c>
      <c r="B581" s="1" t="s">
        <v>402</v>
      </c>
      <c r="C581" s="60" t="s">
        <v>18</v>
      </c>
      <c r="D581" s="60" t="s">
        <v>20</v>
      </c>
      <c r="E581" s="60" t="s">
        <v>27</v>
      </c>
      <c r="F581" s="60" t="s">
        <v>127</v>
      </c>
      <c r="G581" s="60" t="s">
        <v>256</v>
      </c>
      <c r="H581" s="60" t="s">
        <v>259</v>
      </c>
      <c r="I581" s="129"/>
      <c r="J581" s="84">
        <f>J582+J584</f>
        <v>202593.2</v>
      </c>
      <c r="K581" s="84">
        <f t="shared" ref="K581:L581" si="354">K582+K584</f>
        <v>0</v>
      </c>
      <c r="L581" s="84">
        <f t="shared" si="354"/>
        <v>0</v>
      </c>
      <c r="M581" s="84">
        <f t="shared" ref="M581:O581" si="355">M582+M584</f>
        <v>0</v>
      </c>
      <c r="N581" s="84">
        <f t="shared" si="355"/>
        <v>0</v>
      </c>
      <c r="O581" s="84">
        <f t="shared" si="355"/>
        <v>0</v>
      </c>
      <c r="P581" s="84">
        <f t="shared" si="335"/>
        <v>202593.2</v>
      </c>
      <c r="Q581" s="84">
        <f t="shared" si="336"/>
        <v>0</v>
      </c>
      <c r="R581" s="84">
        <f t="shared" si="337"/>
        <v>0</v>
      </c>
    </row>
    <row r="582" spans="1:18" ht="25.5">
      <c r="A582" s="7" t="s">
        <v>120</v>
      </c>
      <c r="B582" s="1" t="s">
        <v>402</v>
      </c>
      <c r="C582" s="60" t="s">
        <v>18</v>
      </c>
      <c r="D582" s="60" t="s">
        <v>20</v>
      </c>
      <c r="E582" s="60" t="s">
        <v>27</v>
      </c>
      <c r="F582" s="60" t="s">
        <v>127</v>
      </c>
      <c r="G582" s="60" t="s">
        <v>256</v>
      </c>
      <c r="H582" s="60" t="s">
        <v>259</v>
      </c>
      <c r="I582" s="129" t="s">
        <v>118</v>
      </c>
      <c r="J582" s="84">
        <f>J583</f>
        <v>180393.2</v>
      </c>
      <c r="K582" s="84">
        <f t="shared" ref="K582:O582" si="356">K583</f>
        <v>0</v>
      </c>
      <c r="L582" s="84">
        <f t="shared" si="356"/>
        <v>0</v>
      </c>
      <c r="M582" s="84">
        <f t="shared" si="356"/>
        <v>0</v>
      </c>
      <c r="N582" s="84">
        <f t="shared" si="356"/>
        <v>0</v>
      </c>
      <c r="O582" s="84">
        <f t="shared" si="356"/>
        <v>0</v>
      </c>
      <c r="P582" s="84">
        <f t="shared" si="335"/>
        <v>180393.2</v>
      </c>
      <c r="Q582" s="84">
        <f t="shared" si="336"/>
        <v>0</v>
      </c>
      <c r="R582" s="84">
        <f t="shared" si="337"/>
        <v>0</v>
      </c>
    </row>
    <row r="583" spans="1:18">
      <c r="A583" s="7" t="s">
        <v>121</v>
      </c>
      <c r="B583" s="1" t="s">
        <v>402</v>
      </c>
      <c r="C583" s="60" t="s">
        <v>18</v>
      </c>
      <c r="D583" s="60" t="s">
        <v>20</v>
      </c>
      <c r="E583" s="60" t="s">
        <v>27</v>
      </c>
      <c r="F583" s="60" t="s">
        <v>127</v>
      </c>
      <c r="G583" s="60" t="s">
        <v>256</v>
      </c>
      <c r="H583" s="60" t="s">
        <v>259</v>
      </c>
      <c r="I583" s="129" t="s">
        <v>119</v>
      </c>
      <c r="J583" s="84">
        <v>180393.2</v>
      </c>
      <c r="K583" s="84"/>
      <c r="L583" s="84"/>
      <c r="M583" s="84"/>
      <c r="N583" s="84"/>
      <c r="O583" s="84"/>
      <c r="P583" s="84">
        <f t="shared" si="335"/>
        <v>180393.2</v>
      </c>
      <c r="Q583" s="84">
        <f t="shared" si="336"/>
        <v>0</v>
      </c>
      <c r="R583" s="84">
        <f t="shared" si="337"/>
        <v>0</v>
      </c>
    </row>
    <row r="584" spans="1:18">
      <c r="A584" s="78" t="s">
        <v>80</v>
      </c>
      <c r="B584" s="1" t="s">
        <v>402</v>
      </c>
      <c r="C584" s="60" t="s">
        <v>18</v>
      </c>
      <c r="D584" s="60" t="s">
        <v>20</v>
      </c>
      <c r="E584" s="60" t="s">
        <v>27</v>
      </c>
      <c r="F584" s="60" t="s">
        <v>127</v>
      </c>
      <c r="G584" s="60" t="s">
        <v>256</v>
      </c>
      <c r="H584" s="60" t="s">
        <v>259</v>
      </c>
      <c r="I584" s="129" t="s">
        <v>77</v>
      </c>
      <c r="J584" s="84">
        <f>J585</f>
        <v>22200</v>
      </c>
      <c r="K584" s="84">
        <f t="shared" ref="K584:O584" si="357">K585</f>
        <v>0</v>
      </c>
      <c r="L584" s="84">
        <f t="shared" si="357"/>
        <v>0</v>
      </c>
      <c r="M584" s="84">
        <f t="shared" si="357"/>
        <v>0</v>
      </c>
      <c r="N584" s="84">
        <f t="shared" si="357"/>
        <v>0</v>
      </c>
      <c r="O584" s="84">
        <f t="shared" si="357"/>
        <v>0</v>
      </c>
      <c r="P584" s="84">
        <f t="shared" si="335"/>
        <v>22200</v>
      </c>
      <c r="Q584" s="84">
        <f t="shared" si="336"/>
        <v>0</v>
      </c>
      <c r="R584" s="84">
        <f t="shared" si="337"/>
        <v>0</v>
      </c>
    </row>
    <row r="585" spans="1:18">
      <c r="A585" s="83" t="s">
        <v>125</v>
      </c>
      <c r="B585" s="1" t="s">
        <v>402</v>
      </c>
      <c r="C585" s="60" t="s">
        <v>18</v>
      </c>
      <c r="D585" s="60" t="s">
        <v>20</v>
      </c>
      <c r="E585" s="60" t="s">
        <v>27</v>
      </c>
      <c r="F585" s="60" t="s">
        <v>127</v>
      </c>
      <c r="G585" s="60" t="s">
        <v>256</v>
      </c>
      <c r="H585" s="60" t="s">
        <v>259</v>
      </c>
      <c r="I585" s="129" t="s">
        <v>124</v>
      </c>
      <c r="J585" s="84">
        <v>22200</v>
      </c>
      <c r="K585" s="84"/>
      <c r="L585" s="84"/>
      <c r="M585" s="84"/>
      <c r="N585" s="84"/>
      <c r="O585" s="84"/>
      <c r="P585" s="84">
        <f t="shared" si="335"/>
        <v>22200</v>
      </c>
      <c r="Q585" s="84">
        <f t="shared" si="336"/>
        <v>0</v>
      </c>
      <c r="R585" s="84">
        <f t="shared" si="337"/>
        <v>0</v>
      </c>
    </row>
    <row r="586" spans="1:18" ht="38.25">
      <c r="A586" s="2" t="s">
        <v>287</v>
      </c>
      <c r="B586" s="1" t="s">
        <v>402</v>
      </c>
      <c r="C586" s="60" t="s">
        <v>18</v>
      </c>
      <c r="D586" s="60" t="s">
        <v>20</v>
      </c>
      <c r="E586" s="60" t="s">
        <v>14</v>
      </c>
      <c r="F586" s="60" t="s">
        <v>70</v>
      </c>
      <c r="G586" s="60" t="s">
        <v>148</v>
      </c>
      <c r="H586" s="1" t="s">
        <v>149</v>
      </c>
      <c r="I586" s="13"/>
      <c r="J586" s="84">
        <f>J587</f>
        <v>0</v>
      </c>
      <c r="K586" s="84">
        <f t="shared" ref="K586:O588" si="358">K587</f>
        <v>0</v>
      </c>
      <c r="L586" s="84">
        <f t="shared" si="358"/>
        <v>0</v>
      </c>
      <c r="M586" s="84">
        <f t="shared" si="358"/>
        <v>105733</v>
      </c>
      <c r="N586" s="84">
        <f t="shared" si="358"/>
        <v>109962.32</v>
      </c>
      <c r="O586" s="84">
        <f t="shared" si="358"/>
        <v>114360.81</v>
      </c>
      <c r="P586" s="84">
        <f t="shared" ref="P586:P589" si="359">J586+M586</f>
        <v>105733</v>
      </c>
      <c r="Q586" s="84">
        <f t="shared" ref="Q586:Q589" si="360">K586+N586</f>
        <v>109962.32</v>
      </c>
      <c r="R586" s="84">
        <f t="shared" ref="R586:R589" si="361">L586+O586</f>
        <v>114360.81</v>
      </c>
    </row>
    <row r="587" spans="1:18">
      <c r="A587" s="2" t="s">
        <v>369</v>
      </c>
      <c r="B587" s="1" t="s">
        <v>402</v>
      </c>
      <c r="C587" s="60" t="s">
        <v>18</v>
      </c>
      <c r="D587" s="60" t="s">
        <v>20</v>
      </c>
      <c r="E587" s="60" t="s">
        <v>14</v>
      </c>
      <c r="F587" s="60" t="s">
        <v>70</v>
      </c>
      <c r="G587" s="60" t="s">
        <v>148</v>
      </c>
      <c r="H587" s="1" t="s">
        <v>327</v>
      </c>
      <c r="I587" s="13"/>
      <c r="J587" s="84">
        <f>J588</f>
        <v>0</v>
      </c>
      <c r="K587" s="84">
        <f t="shared" si="358"/>
        <v>0</v>
      </c>
      <c r="L587" s="84">
        <f t="shared" si="358"/>
        <v>0</v>
      </c>
      <c r="M587" s="84">
        <f t="shared" si="358"/>
        <v>105733</v>
      </c>
      <c r="N587" s="84">
        <f t="shared" si="358"/>
        <v>109962.32</v>
      </c>
      <c r="O587" s="84">
        <f t="shared" si="358"/>
        <v>114360.81</v>
      </c>
      <c r="P587" s="84">
        <f t="shared" si="359"/>
        <v>105733</v>
      </c>
      <c r="Q587" s="84">
        <f t="shared" si="360"/>
        <v>109962.32</v>
      </c>
      <c r="R587" s="84">
        <f t="shared" si="361"/>
        <v>114360.81</v>
      </c>
    </row>
    <row r="588" spans="1:18" ht="25.5">
      <c r="A588" s="80" t="s">
        <v>260</v>
      </c>
      <c r="B588" s="1" t="s">
        <v>402</v>
      </c>
      <c r="C588" s="60" t="s">
        <v>18</v>
      </c>
      <c r="D588" s="60" t="s">
        <v>20</v>
      </c>
      <c r="E588" s="60" t="s">
        <v>14</v>
      </c>
      <c r="F588" s="60" t="s">
        <v>70</v>
      </c>
      <c r="G588" s="60" t="s">
        <v>148</v>
      </c>
      <c r="H588" s="1" t="s">
        <v>327</v>
      </c>
      <c r="I588" s="13" t="s">
        <v>94</v>
      </c>
      <c r="J588" s="84">
        <f>J589</f>
        <v>0</v>
      </c>
      <c r="K588" s="84">
        <f t="shared" si="358"/>
        <v>0</v>
      </c>
      <c r="L588" s="84">
        <f t="shared" si="358"/>
        <v>0</v>
      </c>
      <c r="M588" s="84">
        <f t="shared" si="358"/>
        <v>105733</v>
      </c>
      <c r="N588" s="84">
        <f t="shared" si="358"/>
        <v>109962.32</v>
      </c>
      <c r="O588" s="84">
        <f t="shared" si="358"/>
        <v>114360.81</v>
      </c>
      <c r="P588" s="84">
        <f t="shared" si="359"/>
        <v>105733</v>
      </c>
      <c r="Q588" s="84">
        <f t="shared" si="360"/>
        <v>109962.32</v>
      </c>
      <c r="R588" s="84">
        <f t="shared" si="361"/>
        <v>114360.81</v>
      </c>
    </row>
    <row r="589" spans="1:18" ht="25.5">
      <c r="A589" s="78" t="s">
        <v>98</v>
      </c>
      <c r="B589" s="1" t="s">
        <v>402</v>
      </c>
      <c r="C589" s="60" t="s">
        <v>18</v>
      </c>
      <c r="D589" s="60" t="s">
        <v>20</v>
      </c>
      <c r="E589" s="60" t="s">
        <v>14</v>
      </c>
      <c r="F589" s="60" t="s">
        <v>70</v>
      </c>
      <c r="G589" s="60" t="s">
        <v>148</v>
      </c>
      <c r="H589" s="1" t="s">
        <v>327</v>
      </c>
      <c r="I589" s="13" t="s">
        <v>95</v>
      </c>
      <c r="J589" s="84"/>
      <c r="K589" s="84"/>
      <c r="L589" s="84"/>
      <c r="M589" s="84">
        <v>105733</v>
      </c>
      <c r="N589" s="84">
        <v>109962.32</v>
      </c>
      <c r="O589" s="84">
        <v>114360.81</v>
      </c>
      <c r="P589" s="84">
        <f t="shared" si="359"/>
        <v>105733</v>
      </c>
      <c r="Q589" s="84">
        <f t="shared" si="360"/>
        <v>109962.32</v>
      </c>
      <c r="R589" s="84">
        <f t="shared" si="361"/>
        <v>114360.81</v>
      </c>
    </row>
    <row r="590" spans="1:18">
      <c r="A590" s="83"/>
      <c r="B590" s="1"/>
      <c r="C590" s="60"/>
      <c r="D590" s="60"/>
      <c r="E590" s="60"/>
      <c r="F590" s="60"/>
      <c r="G590" s="60"/>
      <c r="H590" s="60"/>
      <c r="I590" s="129"/>
      <c r="J590" s="84"/>
      <c r="K590" s="84"/>
      <c r="L590" s="84"/>
      <c r="M590" s="84"/>
      <c r="N590" s="84"/>
      <c r="O590" s="84"/>
      <c r="P590" s="84"/>
      <c r="Q590" s="84"/>
      <c r="R590" s="84"/>
    </row>
    <row r="591" spans="1:18">
      <c r="A591" s="63" t="s">
        <v>47</v>
      </c>
      <c r="B591" s="15" t="s">
        <v>402</v>
      </c>
      <c r="C591" s="15" t="s">
        <v>18</v>
      </c>
      <c r="D591" s="15" t="s">
        <v>17</v>
      </c>
      <c r="E591" s="15"/>
      <c r="F591" s="15"/>
      <c r="G591" s="15"/>
      <c r="H591" s="15"/>
      <c r="I591" s="27"/>
      <c r="J591" s="112">
        <f>J604+J592+J599+J608</f>
        <v>12249183</v>
      </c>
      <c r="K591" s="112">
        <f t="shared" ref="K591:L591" si="362">K604+K592+K599+K608</f>
        <v>7198522.4499999993</v>
      </c>
      <c r="L591" s="112">
        <f t="shared" si="362"/>
        <v>7412302.0999999996</v>
      </c>
      <c r="M591" s="112">
        <f t="shared" ref="M591:O591" si="363">M604+M592+M599+M608</f>
        <v>0</v>
      </c>
      <c r="N591" s="112">
        <f t="shared" si="363"/>
        <v>0</v>
      </c>
      <c r="O591" s="112">
        <f t="shared" si="363"/>
        <v>0</v>
      </c>
      <c r="P591" s="112">
        <f t="shared" si="335"/>
        <v>12249183</v>
      </c>
      <c r="Q591" s="112">
        <f t="shared" si="336"/>
        <v>7198522.4499999993</v>
      </c>
      <c r="R591" s="112">
        <f t="shared" si="337"/>
        <v>7412302.0999999996</v>
      </c>
    </row>
    <row r="592" spans="1:18" ht="38.25">
      <c r="A592" s="124" t="s">
        <v>286</v>
      </c>
      <c r="B592" s="60" t="s">
        <v>402</v>
      </c>
      <c r="C592" s="60" t="s">
        <v>18</v>
      </c>
      <c r="D592" s="60" t="s">
        <v>17</v>
      </c>
      <c r="E592" s="60" t="s">
        <v>3</v>
      </c>
      <c r="F592" s="60" t="s">
        <v>70</v>
      </c>
      <c r="G592" s="60" t="s">
        <v>148</v>
      </c>
      <c r="H592" s="60" t="s">
        <v>149</v>
      </c>
      <c r="I592" s="129"/>
      <c r="J592" s="84">
        <f>J593+J596</f>
        <v>4403000</v>
      </c>
      <c r="K592" s="84">
        <f t="shared" ref="K592:L592" si="364">K593+K596</f>
        <v>0</v>
      </c>
      <c r="L592" s="84">
        <f t="shared" si="364"/>
        <v>0</v>
      </c>
      <c r="M592" s="84">
        <f t="shared" ref="M592:O592" si="365">M593+M596</f>
        <v>0</v>
      </c>
      <c r="N592" s="84">
        <f t="shared" si="365"/>
        <v>0</v>
      </c>
      <c r="O592" s="84">
        <f t="shared" si="365"/>
        <v>0</v>
      </c>
      <c r="P592" s="84">
        <f t="shared" si="335"/>
        <v>4403000</v>
      </c>
      <c r="Q592" s="84">
        <f t="shared" si="336"/>
        <v>0</v>
      </c>
      <c r="R592" s="84">
        <f t="shared" si="337"/>
        <v>0</v>
      </c>
    </row>
    <row r="593" spans="1:18">
      <c r="A593" s="126" t="s">
        <v>356</v>
      </c>
      <c r="B593" s="60" t="s">
        <v>402</v>
      </c>
      <c r="C593" s="60" t="s">
        <v>18</v>
      </c>
      <c r="D593" s="60" t="s">
        <v>17</v>
      </c>
      <c r="E593" s="60" t="s">
        <v>3</v>
      </c>
      <c r="F593" s="60" t="s">
        <v>70</v>
      </c>
      <c r="G593" s="60" t="s">
        <v>148</v>
      </c>
      <c r="H593" s="60" t="s">
        <v>271</v>
      </c>
      <c r="I593" s="129"/>
      <c r="J593" s="84">
        <f>J594</f>
        <v>1770000</v>
      </c>
      <c r="K593" s="84">
        <f t="shared" ref="K593:O594" si="366">K594</f>
        <v>0</v>
      </c>
      <c r="L593" s="84">
        <f t="shared" si="366"/>
        <v>0</v>
      </c>
      <c r="M593" s="84">
        <f t="shared" si="366"/>
        <v>0</v>
      </c>
      <c r="N593" s="84">
        <f t="shared" si="366"/>
        <v>0</v>
      </c>
      <c r="O593" s="84">
        <f t="shared" si="366"/>
        <v>0</v>
      </c>
      <c r="P593" s="84">
        <f t="shared" si="335"/>
        <v>1770000</v>
      </c>
      <c r="Q593" s="84">
        <f t="shared" si="336"/>
        <v>0</v>
      </c>
      <c r="R593" s="84">
        <f t="shared" si="337"/>
        <v>0</v>
      </c>
    </row>
    <row r="594" spans="1:18" ht="25.5">
      <c r="A594" s="7" t="s">
        <v>120</v>
      </c>
      <c r="B594" s="60" t="s">
        <v>402</v>
      </c>
      <c r="C594" s="60" t="s">
        <v>18</v>
      </c>
      <c r="D594" s="60" t="s">
        <v>17</v>
      </c>
      <c r="E594" s="60" t="s">
        <v>3</v>
      </c>
      <c r="F594" s="60" t="s">
        <v>70</v>
      </c>
      <c r="G594" s="60" t="s">
        <v>148</v>
      </c>
      <c r="H594" s="60" t="s">
        <v>271</v>
      </c>
      <c r="I594" s="129" t="s">
        <v>118</v>
      </c>
      <c r="J594" s="84">
        <f>J595</f>
        <v>1770000</v>
      </c>
      <c r="K594" s="84">
        <f t="shared" si="366"/>
        <v>0</v>
      </c>
      <c r="L594" s="84">
        <f t="shared" si="366"/>
        <v>0</v>
      </c>
      <c r="M594" s="84">
        <f t="shared" si="366"/>
        <v>0</v>
      </c>
      <c r="N594" s="84">
        <f t="shared" si="366"/>
        <v>0</v>
      </c>
      <c r="O594" s="84">
        <f t="shared" si="366"/>
        <v>0</v>
      </c>
      <c r="P594" s="84">
        <f t="shared" si="335"/>
        <v>1770000</v>
      </c>
      <c r="Q594" s="84">
        <f t="shared" si="336"/>
        <v>0</v>
      </c>
      <c r="R594" s="84">
        <f t="shared" si="337"/>
        <v>0</v>
      </c>
    </row>
    <row r="595" spans="1:18">
      <c r="A595" s="7" t="s">
        <v>121</v>
      </c>
      <c r="B595" s="60" t="s">
        <v>402</v>
      </c>
      <c r="C595" s="60" t="s">
        <v>18</v>
      </c>
      <c r="D595" s="60" t="s">
        <v>17</v>
      </c>
      <c r="E595" s="60" t="s">
        <v>3</v>
      </c>
      <c r="F595" s="60" t="s">
        <v>70</v>
      </c>
      <c r="G595" s="60" t="s">
        <v>148</v>
      </c>
      <c r="H595" s="60" t="s">
        <v>271</v>
      </c>
      <c r="I595" s="129" t="s">
        <v>119</v>
      </c>
      <c r="J595" s="84">
        <v>1770000</v>
      </c>
      <c r="K595" s="84"/>
      <c r="L595" s="84"/>
      <c r="M595" s="84"/>
      <c r="N595" s="84"/>
      <c r="O595" s="84"/>
      <c r="P595" s="84">
        <f t="shared" si="335"/>
        <v>1770000</v>
      </c>
      <c r="Q595" s="84">
        <f t="shared" si="336"/>
        <v>0</v>
      </c>
      <c r="R595" s="84">
        <f t="shared" si="337"/>
        <v>0</v>
      </c>
    </row>
    <row r="596" spans="1:18" ht="25.5">
      <c r="A596" s="7" t="s">
        <v>312</v>
      </c>
      <c r="B596" s="60" t="s">
        <v>402</v>
      </c>
      <c r="C596" s="60" t="s">
        <v>18</v>
      </c>
      <c r="D596" s="60" t="s">
        <v>17</v>
      </c>
      <c r="E596" s="60" t="s">
        <v>3</v>
      </c>
      <c r="F596" s="60" t="s">
        <v>70</v>
      </c>
      <c r="G596" s="60" t="s">
        <v>148</v>
      </c>
      <c r="H596" s="60" t="s">
        <v>311</v>
      </c>
      <c r="I596" s="129"/>
      <c r="J596" s="84">
        <f>J597</f>
        <v>2633000</v>
      </c>
      <c r="K596" s="84">
        <f t="shared" ref="K596:O597" si="367">K597</f>
        <v>0</v>
      </c>
      <c r="L596" s="84">
        <f t="shared" si="367"/>
        <v>0</v>
      </c>
      <c r="M596" s="84">
        <f t="shared" si="367"/>
        <v>0</v>
      </c>
      <c r="N596" s="84">
        <f t="shared" si="367"/>
        <v>0</v>
      </c>
      <c r="O596" s="84">
        <f t="shared" si="367"/>
        <v>0</v>
      </c>
      <c r="P596" s="84">
        <f t="shared" si="335"/>
        <v>2633000</v>
      </c>
      <c r="Q596" s="84">
        <f t="shared" si="336"/>
        <v>0</v>
      </c>
      <c r="R596" s="84">
        <f t="shared" si="337"/>
        <v>0</v>
      </c>
    </row>
    <row r="597" spans="1:18" ht="25.5">
      <c r="A597" s="80" t="s">
        <v>260</v>
      </c>
      <c r="B597" s="60" t="s">
        <v>402</v>
      </c>
      <c r="C597" s="60" t="s">
        <v>18</v>
      </c>
      <c r="D597" s="60" t="s">
        <v>17</v>
      </c>
      <c r="E597" s="60" t="s">
        <v>3</v>
      </c>
      <c r="F597" s="60" t="s">
        <v>70</v>
      </c>
      <c r="G597" s="60" t="s">
        <v>148</v>
      </c>
      <c r="H597" s="60" t="s">
        <v>311</v>
      </c>
      <c r="I597" s="129" t="s">
        <v>94</v>
      </c>
      <c r="J597" s="84">
        <f>J598</f>
        <v>2633000</v>
      </c>
      <c r="K597" s="84">
        <f t="shared" si="367"/>
        <v>0</v>
      </c>
      <c r="L597" s="84">
        <f t="shared" si="367"/>
        <v>0</v>
      </c>
      <c r="M597" s="84">
        <f t="shared" si="367"/>
        <v>0</v>
      </c>
      <c r="N597" s="84">
        <f t="shared" si="367"/>
        <v>0</v>
      </c>
      <c r="O597" s="84">
        <f t="shared" si="367"/>
        <v>0</v>
      </c>
      <c r="P597" s="84">
        <f t="shared" si="335"/>
        <v>2633000</v>
      </c>
      <c r="Q597" s="84">
        <f t="shared" si="336"/>
        <v>0</v>
      </c>
      <c r="R597" s="84">
        <f t="shared" si="337"/>
        <v>0</v>
      </c>
    </row>
    <row r="598" spans="1:18" ht="25.5">
      <c r="A598" s="78" t="s">
        <v>98</v>
      </c>
      <c r="B598" s="60" t="s">
        <v>402</v>
      </c>
      <c r="C598" s="60" t="s">
        <v>18</v>
      </c>
      <c r="D598" s="60" t="s">
        <v>17</v>
      </c>
      <c r="E598" s="60" t="s">
        <v>3</v>
      </c>
      <c r="F598" s="60" t="s">
        <v>70</v>
      </c>
      <c r="G598" s="60" t="s">
        <v>148</v>
      </c>
      <c r="H598" s="60" t="s">
        <v>311</v>
      </c>
      <c r="I598" s="129" t="s">
        <v>95</v>
      </c>
      <c r="J598" s="84">
        <v>2633000</v>
      </c>
      <c r="K598" s="84"/>
      <c r="L598" s="84"/>
      <c r="M598" s="84"/>
      <c r="N598" s="84"/>
      <c r="O598" s="84"/>
      <c r="P598" s="84">
        <f t="shared" si="335"/>
        <v>2633000</v>
      </c>
      <c r="Q598" s="84">
        <f t="shared" si="336"/>
        <v>0</v>
      </c>
      <c r="R598" s="84">
        <f t="shared" si="337"/>
        <v>0</v>
      </c>
    </row>
    <row r="599" spans="1:18" ht="38.25">
      <c r="A599" s="2" t="s">
        <v>289</v>
      </c>
      <c r="B599" s="60" t="s">
        <v>402</v>
      </c>
      <c r="C599" s="60" t="s">
        <v>18</v>
      </c>
      <c r="D599" s="60" t="s">
        <v>17</v>
      </c>
      <c r="E599" s="60" t="s">
        <v>27</v>
      </c>
      <c r="F599" s="60" t="s">
        <v>70</v>
      </c>
      <c r="G599" s="60" t="s">
        <v>148</v>
      </c>
      <c r="H599" s="60" t="s">
        <v>149</v>
      </c>
      <c r="I599" s="129"/>
      <c r="J599" s="84">
        <f>J600</f>
        <v>500000</v>
      </c>
      <c r="K599" s="84">
        <f t="shared" ref="K599:O602" si="368">K600</f>
        <v>0</v>
      </c>
      <c r="L599" s="84">
        <f t="shared" si="368"/>
        <v>0</v>
      </c>
      <c r="M599" s="84">
        <f t="shared" si="368"/>
        <v>0</v>
      </c>
      <c r="N599" s="84">
        <f t="shared" si="368"/>
        <v>0</v>
      </c>
      <c r="O599" s="84">
        <f t="shared" si="368"/>
        <v>0</v>
      </c>
      <c r="P599" s="84">
        <f t="shared" si="335"/>
        <v>500000</v>
      </c>
      <c r="Q599" s="84">
        <f t="shared" si="336"/>
        <v>0</v>
      </c>
      <c r="R599" s="84">
        <f t="shared" si="337"/>
        <v>0</v>
      </c>
    </row>
    <row r="600" spans="1:18">
      <c r="A600" s="2" t="s">
        <v>211</v>
      </c>
      <c r="B600" s="60" t="s">
        <v>402</v>
      </c>
      <c r="C600" s="60" t="s">
        <v>18</v>
      </c>
      <c r="D600" s="60" t="s">
        <v>17</v>
      </c>
      <c r="E600" s="60" t="s">
        <v>27</v>
      </c>
      <c r="F600" s="60" t="s">
        <v>44</v>
      </c>
      <c r="G600" s="60" t="s">
        <v>148</v>
      </c>
      <c r="H600" s="60" t="s">
        <v>149</v>
      </c>
      <c r="I600" s="129"/>
      <c r="J600" s="84">
        <f>J601</f>
        <v>500000</v>
      </c>
      <c r="K600" s="84">
        <f t="shared" si="368"/>
        <v>0</v>
      </c>
      <c r="L600" s="84">
        <f t="shared" si="368"/>
        <v>0</v>
      </c>
      <c r="M600" s="84">
        <f t="shared" si="368"/>
        <v>0</v>
      </c>
      <c r="N600" s="84">
        <f t="shared" si="368"/>
        <v>0</v>
      </c>
      <c r="O600" s="84">
        <f t="shared" si="368"/>
        <v>0</v>
      </c>
      <c r="P600" s="84">
        <f t="shared" si="335"/>
        <v>500000</v>
      </c>
      <c r="Q600" s="84">
        <f t="shared" si="336"/>
        <v>0</v>
      </c>
      <c r="R600" s="84">
        <f t="shared" si="337"/>
        <v>0</v>
      </c>
    </row>
    <row r="601" spans="1:18" ht="25.5">
      <c r="A601" s="2" t="s">
        <v>212</v>
      </c>
      <c r="B601" s="60" t="s">
        <v>402</v>
      </c>
      <c r="C601" s="60" t="s">
        <v>18</v>
      </c>
      <c r="D601" s="60" t="s">
        <v>17</v>
      </c>
      <c r="E601" s="60" t="s">
        <v>27</v>
      </c>
      <c r="F601" s="60" t="s">
        <v>44</v>
      </c>
      <c r="G601" s="60" t="s">
        <v>148</v>
      </c>
      <c r="H601" s="60" t="s">
        <v>213</v>
      </c>
      <c r="I601" s="129"/>
      <c r="J601" s="84">
        <f>J602</f>
        <v>500000</v>
      </c>
      <c r="K601" s="84">
        <f t="shared" si="368"/>
        <v>0</v>
      </c>
      <c r="L601" s="84">
        <f t="shared" si="368"/>
        <v>0</v>
      </c>
      <c r="M601" s="84">
        <f t="shared" si="368"/>
        <v>0</v>
      </c>
      <c r="N601" s="84">
        <f t="shared" si="368"/>
        <v>0</v>
      </c>
      <c r="O601" s="84">
        <f t="shared" si="368"/>
        <v>0</v>
      </c>
      <c r="P601" s="84">
        <f t="shared" si="335"/>
        <v>500000</v>
      </c>
      <c r="Q601" s="84">
        <f t="shared" si="336"/>
        <v>0</v>
      </c>
      <c r="R601" s="84">
        <f t="shared" si="337"/>
        <v>0</v>
      </c>
    </row>
    <row r="602" spans="1:18" ht="25.5">
      <c r="A602" s="80" t="s">
        <v>260</v>
      </c>
      <c r="B602" s="60" t="s">
        <v>402</v>
      </c>
      <c r="C602" s="60" t="s">
        <v>18</v>
      </c>
      <c r="D602" s="60" t="s">
        <v>17</v>
      </c>
      <c r="E602" s="60" t="s">
        <v>27</v>
      </c>
      <c r="F602" s="60" t="s">
        <v>44</v>
      </c>
      <c r="G602" s="60" t="s">
        <v>148</v>
      </c>
      <c r="H602" s="60" t="s">
        <v>213</v>
      </c>
      <c r="I602" s="129" t="s">
        <v>94</v>
      </c>
      <c r="J602" s="84">
        <f>J603</f>
        <v>500000</v>
      </c>
      <c r="K602" s="84">
        <f t="shared" si="368"/>
        <v>0</v>
      </c>
      <c r="L602" s="84">
        <f t="shared" si="368"/>
        <v>0</v>
      </c>
      <c r="M602" s="84">
        <f t="shared" si="368"/>
        <v>0</v>
      </c>
      <c r="N602" s="84">
        <f t="shared" si="368"/>
        <v>0</v>
      </c>
      <c r="O602" s="84">
        <f t="shared" si="368"/>
        <v>0</v>
      </c>
      <c r="P602" s="84">
        <f t="shared" si="335"/>
        <v>500000</v>
      </c>
      <c r="Q602" s="84">
        <f t="shared" si="336"/>
        <v>0</v>
      </c>
      <c r="R602" s="84">
        <f t="shared" si="337"/>
        <v>0</v>
      </c>
    </row>
    <row r="603" spans="1:18" ht="25.5">
      <c r="A603" s="78" t="s">
        <v>98</v>
      </c>
      <c r="B603" s="60" t="s">
        <v>402</v>
      </c>
      <c r="C603" s="60" t="s">
        <v>18</v>
      </c>
      <c r="D603" s="60" t="s">
        <v>17</v>
      </c>
      <c r="E603" s="60" t="s">
        <v>27</v>
      </c>
      <c r="F603" s="60" t="s">
        <v>44</v>
      </c>
      <c r="G603" s="60" t="s">
        <v>148</v>
      </c>
      <c r="H603" s="60" t="s">
        <v>213</v>
      </c>
      <c r="I603" s="129" t="s">
        <v>95</v>
      </c>
      <c r="J603" s="84">
        <v>500000</v>
      </c>
      <c r="K603" s="84"/>
      <c r="L603" s="84"/>
      <c r="M603" s="84"/>
      <c r="N603" s="84"/>
      <c r="O603" s="84"/>
      <c r="P603" s="84">
        <f t="shared" si="335"/>
        <v>500000</v>
      </c>
      <c r="Q603" s="84">
        <f t="shared" si="336"/>
        <v>0</v>
      </c>
      <c r="R603" s="84">
        <f t="shared" si="337"/>
        <v>0</v>
      </c>
    </row>
    <row r="604" spans="1:18" ht="38.25">
      <c r="A604" s="2" t="s">
        <v>292</v>
      </c>
      <c r="B604" s="1" t="s">
        <v>402</v>
      </c>
      <c r="C604" s="1" t="s">
        <v>18</v>
      </c>
      <c r="D604" s="1" t="s">
        <v>17</v>
      </c>
      <c r="E604" s="1" t="s">
        <v>357</v>
      </c>
      <c r="F604" s="1" t="s">
        <v>70</v>
      </c>
      <c r="G604" s="1" t="s">
        <v>148</v>
      </c>
      <c r="H604" s="1" t="s">
        <v>149</v>
      </c>
      <c r="I604" s="13"/>
      <c r="J604" s="84">
        <f t="shared" ref="J604:O606" si="369">J605</f>
        <v>353900</v>
      </c>
      <c r="K604" s="84">
        <f t="shared" si="369"/>
        <v>0</v>
      </c>
      <c r="L604" s="84">
        <f t="shared" si="369"/>
        <v>0</v>
      </c>
      <c r="M604" s="84">
        <f t="shared" si="369"/>
        <v>0</v>
      </c>
      <c r="N604" s="84">
        <f t="shared" si="369"/>
        <v>0</v>
      </c>
      <c r="O604" s="84">
        <f t="shared" si="369"/>
        <v>0</v>
      </c>
      <c r="P604" s="84">
        <f t="shared" si="335"/>
        <v>353900</v>
      </c>
      <c r="Q604" s="84">
        <f t="shared" si="336"/>
        <v>0</v>
      </c>
      <c r="R604" s="84">
        <f t="shared" si="337"/>
        <v>0</v>
      </c>
    </row>
    <row r="605" spans="1:18">
      <c r="A605" s="78" t="s">
        <v>376</v>
      </c>
      <c r="B605" s="1" t="s">
        <v>402</v>
      </c>
      <c r="C605" s="1" t="s">
        <v>18</v>
      </c>
      <c r="D605" s="1" t="s">
        <v>17</v>
      </c>
      <c r="E605" s="1" t="s">
        <v>357</v>
      </c>
      <c r="F605" s="1" t="s">
        <v>70</v>
      </c>
      <c r="G605" s="1" t="s">
        <v>148</v>
      </c>
      <c r="H605" s="1" t="s">
        <v>225</v>
      </c>
      <c r="I605" s="13"/>
      <c r="J605" s="84">
        <f t="shared" si="369"/>
        <v>353900</v>
      </c>
      <c r="K605" s="84">
        <f t="shared" si="369"/>
        <v>0</v>
      </c>
      <c r="L605" s="84">
        <f t="shared" si="369"/>
        <v>0</v>
      </c>
      <c r="M605" s="84">
        <f t="shared" si="369"/>
        <v>0</v>
      </c>
      <c r="N605" s="84">
        <f t="shared" si="369"/>
        <v>0</v>
      </c>
      <c r="O605" s="84">
        <f t="shared" si="369"/>
        <v>0</v>
      </c>
      <c r="P605" s="84">
        <f t="shared" si="335"/>
        <v>353900</v>
      </c>
      <c r="Q605" s="84">
        <f t="shared" si="336"/>
        <v>0</v>
      </c>
      <c r="R605" s="84">
        <f t="shared" si="337"/>
        <v>0</v>
      </c>
    </row>
    <row r="606" spans="1:18" ht="25.5">
      <c r="A606" s="7" t="s">
        <v>120</v>
      </c>
      <c r="B606" s="1" t="s">
        <v>402</v>
      </c>
      <c r="C606" s="1" t="s">
        <v>18</v>
      </c>
      <c r="D606" s="1" t="s">
        <v>17</v>
      </c>
      <c r="E606" s="1" t="s">
        <v>357</v>
      </c>
      <c r="F606" s="1" t="s">
        <v>70</v>
      </c>
      <c r="G606" s="1" t="s">
        <v>148</v>
      </c>
      <c r="H606" s="1" t="s">
        <v>225</v>
      </c>
      <c r="I606" s="13" t="s">
        <v>118</v>
      </c>
      <c r="J606" s="84">
        <f t="shared" si="369"/>
        <v>353900</v>
      </c>
      <c r="K606" s="84">
        <f t="shared" si="369"/>
        <v>0</v>
      </c>
      <c r="L606" s="84">
        <f t="shared" si="369"/>
        <v>0</v>
      </c>
      <c r="M606" s="84">
        <f t="shared" si="369"/>
        <v>0</v>
      </c>
      <c r="N606" s="84">
        <f t="shared" si="369"/>
        <v>0</v>
      </c>
      <c r="O606" s="84">
        <f t="shared" si="369"/>
        <v>0</v>
      </c>
      <c r="P606" s="84">
        <f t="shared" si="335"/>
        <v>353900</v>
      </c>
      <c r="Q606" s="84">
        <f t="shared" si="336"/>
        <v>0</v>
      </c>
      <c r="R606" s="84">
        <f t="shared" si="337"/>
        <v>0</v>
      </c>
    </row>
    <row r="607" spans="1:18">
      <c r="A607" s="7" t="s">
        <v>121</v>
      </c>
      <c r="B607" s="1" t="s">
        <v>402</v>
      </c>
      <c r="C607" s="1" t="s">
        <v>18</v>
      </c>
      <c r="D607" s="1" t="s">
        <v>17</v>
      </c>
      <c r="E607" s="1" t="s">
        <v>357</v>
      </c>
      <c r="F607" s="1" t="s">
        <v>70</v>
      </c>
      <c r="G607" s="1" t="s">
        <v>148</v>
      </c>
      <c r="H607" s="1" t="s">
        <v>225</v>
      </c>
      <c r="I607" s="13" t="s">
        <v>119</v>
      </c>
      <c r="J607" s="84">
        <v>353900</v>
      </c>
      <c r="K607" s="84"/>
      <c r="L607" s="84"/>
      <c r="M607" s="84"/>
      <c r="N607" s="84"/>
      <c r="O607" s="84"/>
      <c r="P607" s="84">
        <f t="shared" si="335"/>
        <v>353900</v>
      </c>
      <c r="Q607" s="84">
        <f t="shared" si="336"/>
        <v>0</v>
      </c>
      <c r="R607" s="84">
        <f t="shared" si="337"/>
        <v>0</v>
      </c>
    </row>
    <row r="608" spans="1:18">
      <c r="A608" s="9" t="s">
        <v>83</v>
      </c>
      <c r="B608" s="1" t="s">
        <v>402</v>
      </c>
      <c r="C608" s="1" t="s">
        <v>18</v>
      </c>
      <c r="D608" s="1" t="s">
        <v>17</v>
      </c>
      <c r="E608" s="1" t="s">
        <v>82</v>
      </c>
      <c r="F608" s="1" t="s">
        <v>70</v>
      </c>
      <c r="G608" s="1" t="s">
        <v>148</v>
      </c>
      <c r="H608" s="1" t="s">
        <v>149</v>
      </c>
      <c r="I608" s="13"/>
      <c r="J608" s="84">
        <f>J609+J612</f>
        <v>6992283</v>
      </c>
      <c r="K608" s="84">
        <f t="shared" ref="K608:L608" si="370">K609+K612</f>
        <v>7198522.4499999993</v>
      </c>
      <c r="L608" s="84">
        <f t="shared" si="370"/>
        <v>7412302.0999999996</v>
      </c>
      <c r="M608" s="84">
        <f t="shared" ref="M608:O608" si="371">M609+M612</f>
        <v>0</v>
      </c>
      <c r="N608" s="84">
        <f t="shared" si="371"/>
        <v>0</v>
      </c>
      <c r="O608" s="84">
        <f t="shared" si="371"/>
        <v>0</v>
      </c>
      <c r="P608" s="84">
        <f t="shared" si="335"/>
        <v>6992283</v>
      </c>
      <c r="Q608" s="84">
        <f t="shared" si="336"/>
        <v>7198522.4499999993</v>
      </c>
      <c r="R608" s="84">
        <f t="shared" si="337"/>
        <v>7412302.0999999996</v>
      </c>
    </row>
    <row r="609" spans="1:18">
      <c r="A609" s="2" t="s">
        <v>346</v>
      </c>
      <c r="B609" s="1" t="s">
        <v>402</v>
      </c>
      <c r="C609" s="1" t="s">
        <v>18</v>
      </c>
      <c r="D609" s="1" t="s">
        <v>17</v>
      </c>
      <c r="E609" s="1" t="s">
        <v>82</v>
      </c>
      <c r="F609" s="1" t="s">
        <v>70</v>
      </c>
      <c r="G609" s="1" t="s">
        <v>148</v>
      </c>
      <c r="H609" s="1" t="s">
        <v>345</v>
      </c>
      <c r="I609" s="13"/>
      <c r="J609" s="84">
        <f>J610</f>
        <v>5524518</v>
      </c>
      <c r="K609" s="84">
        <f t="shared" ref="K609:O610" si="372">K610</f>
        <v>5675926.8499999996</v>
      </c>
      <c r="L609" s="84">
        <f t="shared" si="372"/>
        <v>5832682.6799999997</v>
      </c>
      <c r="M609" s="84">
        <f t="shared" si="372"/>
        <v>0</v>
      </c>
      <c r="N609" s="84">
        <f t="shared" si="372"/>
        <v>0</v>
      </c>
      <c r="O609" s="84">
        <f t="shared" si="372"/>
        <v>0</v>
      </c>
      <c r="P609" s="84">
        <f t="shared" si="335"/>
        <v>5524518</v>
      </c>
      <c r="Q609" s="84">
        <f t="shared" si="336"/>
        <v>5675926.8499999996</v>
      </c>
      <c r="R609" s="84">
        <f t="shared" si="337"/>
        <v>5832682.6799999997</v>
      </c>
    </row>
    <row r="610" spans="1:18" ht="25.5">
      <c r="A610" s="7" t="s">
        <v>72</v>
      </c>
      <c r="B610" s="1" t="s">
        <v>402</v>
      </c>
      <c r="C610" s="1" t="s">
        <v>18</v>
      </c>
      <c r="D610" s="1" t="s">
        <v>17</v>
      </c>
      <c r="E610" s="1" t="s">
        <v>82</v>
      </c>
      <c r="F610" s="1" t="s">
        <v>70</v>
      </c>
      <c r="G610" s="1" t="s">
        <v>148</v>
      </c>
      <c r="H610" s="1" t="s">
        <v>345</v>
      </c>
      <c r="I610" s="13" t="s">
        <v>71</v>
      </c>
      <c r="J610" s="84">
        <f>J611</f>
        <v>5524518</v>
      </c>
      <c r="K610" s="84">
        <f t="shared" si="372"/>
        <v>5675926.8499999996</v>
      </c>
      <c r="L610" s="84">
        <f t="shared" si="372"/>
        <v>5832682.6799999997</v>
      </c>
      <c r="M610" s="84">
        <f t="shared" si="372"/>
        <v>0</v>
      </c>
      <c r="N610" s="84">
        <f t="shared" si="372"/>
        <v>0</v>
      </c>
      <c r="O610" s="84">
        <f t="shared" si="372"/>
        <v>0</v>
      </c>
      <c r="P610" s="84">
        <f t="shared" si="335"/>
        <v>5524518</v>
      </c>
      <c r="Q610" s="84">
        <f t="shared" si="336"/>
        <v>5675926.8499999996</v>
      </c>
      <c r="R610" s="84">
        <f t="shared" si="337"/>
        <v>5832682.6799999997</v>
      </c>
    </row>
    <row r="611" spans="1:18">
      <c r="A611" s="2" t="s">
        <v>249</v>
      </c>
      <c r="B611" s="1" t="s">
        <v>402</v>
      </c>
      <c r="C611" s="1" t="s">
        <v>18</v>
      </c>
      <c r="D611" s="1" t="s">
        <v>17</v>
      </c>
      <c r="E611" s="1" t="s">
        <v>82</v>
      </c>
      <c r="F611" s="1" t="s">
        <v>70</v>
      </c>
      <c r="G611" s="1" t="s">
        <v>148</v>
      </c>
      <c r="H611" s="1" t="s">
        <v>345</v>
      </c>
      <c r="I611" s="13" t="s">
        <v>246</v>
      </c>
      <c r="J611" s="84">
        <v>5524518</v>
      </c>
      <c r="K611" s="84">
        <v>5675926.8499999996</v>
      </c>
      <c r="L611" s="84">
        <v>5832682.6799999997</v>
      </c>
      <c r="M611" s="84"/>
      <c r="N611" s="84"/>
      <c r="O611" s="84"/>
      <c r="P611" s="84">
        <f t="shared" si="335"/>
        <v>5524518</v>
      </c>
      <c r="Q611" s="84">
        <f t="shared" si="336"/>
        <v>5675926.8499999996</v>
      </c>
      <c r="R611" s="84">
        <f t="shared" si="337"/>
        <v>5832682.6799999997</v>
      </c>
    </row>
    <row r="612" spans="1:18">
      <c r="A612" s="7" t="s">
        <v>359</v>
      </c>
      <c r="B612" s="1" t="s">
        <v>402</v>
      </c>
      <c r="C612" s="1" t="s">
        <v>18</v>
      </c>
      <c r="D612" s="1" t="s">
        <v>17</v>
      </c>
      <c r="E612" s="1" t="s">
        <v>82</v>
      </c>
      <c r="F612" s="1" t="s">
        <v>70</v>
      </c>
      <c r="G612" s="1" t="s">
        <v>148</v>
      </c>
      <c r="H612" s="1" t="s">
        <v>358</v>
      </c>
      <c r="I612" s="13"/>
      <c r="J612" s="84">
        <f>J613</f>
        <v>1467765</v>
      </c>
      <c r="K612" s="84">
        <f t="shared" ref="K612:O613" si="373">K613</f>
        <v>1522595.6</v>
      </c>
      <c r="L612" s="84">
        <f t="shared" si="373"/>
        <v>1579619.42</v>
      </c>
      <c r="M612" s="84">
        <f t="shared" si="373"/>
        <v>0</v>
      </c>
      <c r="N612" s="84">
        <f t="shared" si="373"/>
        <v>0</v>
      </c>
      <c r="O612" s="84">
        <f t="shared" si="373"/>
        <v>0</v>
      </c>
      <c r="P612" s="84">
        <f t="shared" si="335"/>
        <v>1467765</v>
      </c>
      <c r="Q612" s="84">
        <f t="shared" si="336"/>
        <v>1522595.6</v>
      </c>
      <c r="R612" s="84">
        <f t="shared" si="337"/>
        <v>1579619.42</v>
      </c>
    </row>
    <row r="613" spans="1:18" ht="25.5">
      <c r="A613" s="80" t="s">
        <v>260</v>
      </c>
      <c r="B613" s="1" t="s">
        <v>402</v>
      </c>
      <c r="C613" s="1" t="s">
        <v>18</v>
      </c>
      <c r="D613" s="1" t="s">
        <v>17</v>
      </c>
      <c r="E613" s="1" t="s">
        <v>82</v>
      </c>
      <c r="F613" s="1" t="s">
        <v>70</v>
      </c>
      <c r="G613" s="1" t="s">
        <v>148</v>
      </c>
      <c r="H613" s="1" t="s">
        <v>358</v>
      </c>
      <c r="I613" s="13" t="s">
        <v>94</v>
      </c>
      <c r="J613" s="84">
        <f>J614</f>
        <v>1467765</v>
      </c>
      <c r="K613" s="84">
        <f t="shared" si="373"/>
        <v>1522595.6</v>
      </c>
      <c r="L613" s="84">
        <f t="shared" si="373"/>
        <v>1579619.42</v>
      </c>
      <c r="M613" s="84">
        <f t="shared" si="373"/>
        <v>0</v>
      </c>
      <c r="N613" s="84">
        <f t="shared" si="373"/>
        <v>0</v>
      </c>
      <c r="O613" s="84">
        <f t="shared" si="373"/>
        <v>0</v>
      </c>
      <c r="P613" s="84">
        <f t="shared" si="335"/>
        <v>1467765</v>
      </c>
      <c r="Q613" s="84">
        <f t="shared" si="336"/>
        <v>1522595.6</v>
      </c>
      <c r="R613" s="84">
        <f t="shared" si="337"/>
        <v>1579619.42</v>
      </c>
    </row>
    <row r="614" spans="1:18" ht="25.5">
      <c r="A614" s="78" t="s">
        <v>98</v>
      </c>
      <c r="B614" s="1" t="s">
        <v>402</v>
      </c>
      <c r="C614" s="1" t="s">
        <v>18</v>
      </c>
      <c r="D614" s="1" t="s">
        <v>17</v>
      </c>
      <c r="E614" s="1" t="s">
        <v>82</v>
      </c>
      <c r="F614" s="1" t="s">
        <v>70</v>
      </c>
      <c r="G614" s="1" t="s">
        <v>148</v>
      </c>
      <c r="H614" s="1" t="s">
        <v>358</v>
      </c>
      <c r="I614" s="13" t="s">
        <v>95</v>
      </c>
      <c r="J614" s="84">
        <f>682500+785265</f>
        <v>1467765</v>
      </c>
      <c r="K614" s="84">
        <f>709800+812795.6</f>
        <v>1522595.6</v>
      </c>
      <c r="L614" s="84">
        <f>738192+841427.42</f>
        <v>1579619.42</v>
      </c>
      <c r="M614" s="84"/>
      <c r="N614" s="84"/>
      <c r="O614" s="84"/>
      <c r="P614" s="84">
        <f t="shared" si="335"/>
        <v>1467765</v>
      </c>
      <c r="Q614" s="84">
        <f t="shared" si="336"/>
        <v>1522595.6</v>
      </c>
      <c r="R614" s="84">
        <f t="shared" si="337"/>
        <v>1579619.42</v>
      </c>
    </row>
    <row r="615" spans="1:18">
      <c r="A615" s="7"/>
      <c r="B615" s="1"/>
      <c r="C615" s="1"/>
      <c r="D615" s="1"/>
      <c r="E615" s="1"/>
      <c r="F615" s="1"/>
      <c r="G615" s="1"/>
      <c r="H615" s="1"/>
      <c r="I615" s="13"/>
      <c r="J615" s="84"/>
      <c r="K615" s="84"/>
      <c r="L615" s="84"/>
      <c r="M615" s="84"/>
      <c r="N615" s="84"/>
      <c r="O615" s="84"/>
      <c r="P615" s="84"/>
      <c r="Q615" s="84"/>
      <c r="R615" s="84"/>
    </row>
    <row r="616" spans="1:18" s="136" customFormat="1">
      <c r="A616" s="63" t="s">
        <v>68</v>
      </c>
      <c r="B616" s="14" t="s">
        <v>402</v>
      </c>
      <c r="C616" s="14" t="s">
        <v>18</v>
      </c>
      <c r="D616" s="14" t="s">
        <v>13</v>
      </c>
      <c r="E616" s="14"/>
      <c r="F616" s="14"/>
      <c r="G616" s="14"/>
      <c r="H616" s="14"/>
      <c r="I616" s="29"/>
      <c r="J616" s="112">
        <f>J617+J631+J621</f>
        <v>25777502</v>
      </c>
      <c r="K616" s="112">
        <f>K617+K631+K621</f>
        <v>18626702.130000003</v>
      </c>
      <c r="L616" s="112">
        <f>L617+L631+L621</f>
        <v>18339840.830000002</v>
      </c>
      <c r="M616" s="112">
        <f t="shared" ref="M616:O616" si="374">M617+M631+M621</f>
        <v>3945037.67</v>
      </c>
      <c r="N616" s="112">
        <f t="shared" si="374"/>
        <v>2228470.13</v>
      </c>
      <c r="O616" s="112">
        <f t="shared" si="374"/>
        <v>0</v>
      </c>
      <c r="P616" s="112">
        <f t="shared" si="335"/>
        <v>29722539.670000002</v>
      </c>
      <c r="Q616" s="112">
        <f t="shared" si="336"/>
        <v>20855172.260000002</v>
      </c>
      <c r="R616" s="112">
        <f t="shared" si="337"/>
        <v>18339840.830000002</v>
      </c>
    </row>
    <row r="617" spans="1:18" ht="38.25">
      <c r="A617" s="124" t="s">
        <v>286</v>
      </c>
      <c r="B617" s="1" t="s">
        <v>402</v>
      </c>
      <c r="C617" s="1" t="s">
        <v>18</v>
      </c>
      <c r="D617" s="1" t="s">
        <v>13</v>
      </c>
      <c r="E617" s="1" t="s">
        <v>3</v>
      </c>
      <c r="F617" s="1" t="s">
        <v>70</v>
      </c>
      <c r="G617" s="1" t="s">
        <v>148</v>
      </c>
      <c r="H617" s="1" t="s">
        <v>149</v>
      </c>
      <c r="I617" s="13"/>
      <c r="J617" s="84">
        <f>J618</f>
        <v>7116000</v>
      </c>
      <c r="K617" s="84">
        <f t="shared" ref="K617:O619" si="375">K618</f>
        <v>0</v>
      </c>
      <c r="L617" s="84">
        <f t="shared" si="375"/>
        <v>0</v>
      </c>
      <c r="M617" s="84">
        <f t="shared" si="375"/>
        <v>0</v>
      </c>
      <c r="N617" s="84">
        <f t="shared" si="375"/>
        <v>0</v>
      </c>
      <c r="O617" s="84">
        <f t="shared" si="375"/>
        <v>0</v>
      </c>
      <c r="P617" s="84">
        <f t="shared" si="335"/>
        <v>7116000</v>
      </c>
      <c r="Q617" s="84">
        <f t="shared" si="336"/>
        <v>0</v>
      </c>
      <c r="R617" s="84">
        <f t="shared" si="337"/>
        <v>0</v>
      </c>
    </row>
    <row r="618" spans="1:18" ht="25.5">
      <c r="A618" s="7" t="s">
        <v>312</v>
      </c>
      <c r="B618" s="1" t="s">
        <v>402</v>
      </c>
      <c r="C618" s="1" t="s">
        <v>18</v>
      </c>
      <c r="D618" s="1" t="s">
        <v>13</v>
      </c>
      <c r="E618" s="1" t="s">
        <v>3</v>
      </c>
      <c r="F618" s="1" t="s">
        <v>70</v>
      </c>
      <c r="G618" s="1" t="s">
        <v>148</v>
      </c>
      <c r="H618" s="1" t="s">
        <v>311</v>
      </c>
      <c r="I618" s="13"/>
      <c r="J618" s="84">
        <f>J619</f>
        <v>7116000</v>
      </c>
      <c r="K618" s="84">
        <f t="shared" si="375"/>
        <v>0</v>
      </c>
      <c r="L618" s="84">
        <f t="shared" si="375"/>
        <v>0</v>
      </c>
      <c r="M618" s="84">
        <f t="shared" si="375"/>
        <v>0</v>
      </c>
      <c r="N618" s="84">
        <f t="shared" si="375"/>
        <v>0</v>
      </c>
      <c r="O618" s="84">
        <f t="shared" si="375"/>
        <v>0</v>
      </c>
      <c r="P618" s="84">
        <f t="shared" si="335"/>
        <v>7116000</v>
      </c>
      <c r="Q618" s="84">
        <f t="shared" si="336"/>
        <v>0</v>
      </c>
      <c r="R618" s="84">
        <f t="shared" si="337"/>
        <v>0</v>
      </c>
    </row>
    <row r="619" spans="1:18" ht="25.5">
      <c r="A619" s="80" t="s">
        <v>260</v>
      </c>
      <c r="B619" s="1" t="s">
        <v>402</v>
      </c>
      <c r="C619" s="1" t="s">
        <v>18</v>
      </c>
      <c r="D619" s="1" t="s">
        <v>13</v>
      </c>
      <c r="E619" s="1" t="s">
        <v>3</v>
      </c>
      <c r="F619" s="1" t="s">
        <v>70</v>
      </c>
      <c r="G619" s="1" t="s">
        <v>148</v>
      </c>
      <c r="H619" s="1" t="s">
        <v>311</v>
      </c>
      <c r="I619" s="13" t="s">
        <v>94</v>
      </c>
      <c r="J619" s="84">
        <f>J620</f>
        <v>7116000</v>
      </c>
      <c r="K619" s="84">
        <f t="shared" si="375"/>
        <v>0</v>
      </c>
      <c r="L619" s="84">
        <f t="shared" si="375"/>
        <v>0</v>
      </c>
      <c r="M619" s="84">
        <f t="shared" si="375"/>
        <v>0</v>
      </c>
      <c r="N619" s="84">
        <f t="shared" si="375"/>
        <v>0</v>
      </c>
      <c r="O619" s="84">
        <f t="shared" si="375"/>
        <v>0</v>
      </c>
      <c r="P619" s="84">
        <f t="shared" si="335"/>
        <v>7116000</v>
      </c>
      <c r="Q619" s="84">
        <f t="shared" si="336"/>
        <v>0</v>
      </c>
      <c r="R619" s="84">
        <f t="shared" si="337"/>
        <v>0</v>
      </c>
    </row>
    <row r="620" spans="1:18" ht="25.5">
      <c r="A620" s="78" t="s">
        <v>98</v>
      </c>
      <c r="B620" s="1" t="s">
        <v>402</v>
      </c>
      <c r="C620" s="1" t="s">
        <v>18</v>
      </c>
      <c r="D620" s="1" t="s">
        <v>13</v>
      </c>
      <c r="E620" s="1" t="s">
        <v>3</v>
      </c>
      <c r="F620" s="1" t="s">
        <v>70</v>
      </c>
      <c r="G620" s="1" t="s">
        <v>148</v>
      </c>
      <c r="H620" s="1" t="s">
        <v>311</v>
      </c>
      <c r="I620" s="13" t="s">
        <v>95</v>
      </c>
      <c r="J620" s="84">
        <v>7116000</v>
      </c>
      <c r="K620" s="84"/>
      <c r="L620" s="84"/>
      <c r="M620" s="84"/>
      <c r="N620" s="84"/>
      <c r="O620" s="84"/>
      <c r="P620" s="84">
        <f t="shared" ref="P620:P697" si="376">J620+M620</f>
        <v>7116000</v>
      </c>
      <c r="Q620" s="84">
        <f t="shared" ref="Q620:Q697" si="377">K620+N620</f>
        <v>0</v>
      </c>
      <c r="R620" s="84">
        <f t="shared" ref="R620:R697" si="378">L620+O620</f>
        <v>0</v>
      </c>
    </row>
    <row r="621" spans="1:18" ht="38.25">
      <c r="A621" s="78" t="s">
        <v>365</v>
      </c>
      <c r="B621" s="1" t="s">
        <v>402</v>
      </c>
      <c r="C621" s="1" t="s">
        <v>18</v>
      </c>
      <c r="D621" s="1" t="s">
        <v>13</v>
      </c>
      <c r="E621" s="1" t="s">
        <v>363</v>
      </c>
      <c r="F621" s="1" t="s">
        <v>70</v>
      </c>
      <c r="G621" s="1" t="s">
        <v>148</v>
      </c>
      <c r="H621" s="1" t="s">
        <v>149</v>
      </c>
      <c r="I621" s="13"/>
      <c r="J621" s="84">
        <f>J625+J628+J622</f>
        <v>490983</v>
      </c>
      <c r="K621" s="84">
        <f t="shared" ref="K621:O621" si="379">K625+K628+K622</f>
        <v>252499</v>
      </c>
      <c r="L621" s="84">
        <f t="shared" si="379"/>
        <v>252499</v>
      </c>
      <c r="M621" s="84">
        <f>M625+M628+M622</f>
        <v>3445037.67</v>
      </c>
      <c r="N621" s="84">
        <f t="shared" si="379"/>
        <v>2228470.13</v>
      </c>
      <c r="O621" s="84">
        <f t="shared" si="379"/>
        <v>0</v>
      </c>
      <c r="P621" s="84">
        <f t="shared" si="376"/>
        <v>3936020.67</v>
      </c>
      <c r="Q621" s="84">
        <f t="shared" si="377"/>
        <v>2480969.13</v>
      </c>
      <c r="R621" s="84">
        <f t="shared" si="378"/>
        <v>252499</v>
      </c>
    </row>
    <row r="622" spans="1:18">
      <c r="A622" s="78" t="s">
        <v>367</v>
      </c>
      <c r="B622" s="1" t="s">
        <v>402</v>
      </c>
      <c r="C622" s="1" t="s">
        <v>18</v>
      </c>
      <c r="D622" s="1" t="s">
        <v>13</v>
      </c>
      <c r="E622" s="1" t="s">
        <v>363</v>
      </c>
      <c r="F622" s="1" t="s">
        <v>70</v>
      </c>
      <c r="G622" s="1" t="s">
        <v>148</v>
      </c>
      <c r="H622" s="1" t="s">
        <v>360</v>
      </c>
      <c r="I622" s="13"/>
      <c r="J622" s="84">
        <f>J623</f>
        <v>0</v>
      </c>
      <c r="K622" s="84">
        <f t="shared" ref="K622:O623" si="380">K623</f>
        <v>0</v>
      </c>
      <c r="L622" s="84">
        <f t="shared" si="380"/>
        <v>0</v>
      </c>
      <c r="M622" s="84">
        <f t="shared" si="380"/>
        <v>1858469.83</v>
      </c>
      <c r="N622" s="84">
        <f t="shared" si="380"/>
        <v>0</v>
      </c>
      <c r="O622" s="84">
        <f t="shared" si="380"/>
        <v>0</v>
      </c>
      <c r="P622" s="84">
        <f t="shared" ref="P622:P624" si="381">J622+M622</f>
        <v>1858469.83</v>
      </c>
      <c r="Q622" s="84">
        <f t="shared" ref="Q622:Q624" si="382">K622+N622</f>
        <v>0</v>
      </c>
      <c r="R622" s="84">
        <f t="shared" ref="R622:R624" si="383">L622+O622</f>
        <v>0</v>
      </c>
    </row>
    <row r="623" spans="1:18" ht="25.5">
      <c r="A623" s="80" t="s">
        <v>260</v>
      </c>
      <c r="B623" s="1" t="s">
        <v>402</v>
      </c>
      <c r="C623" s="1" t="s">
        <v>18</v>
      </c>
      <c r="D623" s="1" t="s">
        <v>13</v>
      </c>
      <c r="E623" s="1" t="s">
        <v>363</v>
      </c>
      <c r="F623" s="1" t="s">
        <v>70</v>
      </c>
      <c r="G623" s="1" t="s">
        <v>148</v>
      </c>
      <c r="H623" s="1" t="s">
        <v>360</v>
      </c>
      <c r="I623" s="13" t="s">
        <v>94</v>
      </c>
      <c r="J623" s="84">
        <f>J624</f>
        <v>0</v>
      </c>
      <c r="K623" s="84">
        <f t="shared" si="380"/>
        <v>0</v>
      </c>
      <c r="L623" s="84">
        <f t="shared" si="380"/>
        <v>0</v>
      </c>
      <c r="M623" s="84">
        <f t="shared" si="380"/>
        <v>1858469.83</v>
      </c>
      <c r="N623" s="84">
        <f t="shared" si="380"/>
        <v>0</v>
      </c>
      <c r="O623" s="84">
        <f t="shared" si="380"/>
        <v>0</v>
      </c>
      <c r="P623" s="84">
        <f t="shared" si="381"/>
        <v>1858469.83</v>
      </c>
      <c r="Q623" s="84">
        <f t="shared" si="382"/>
        <v>0</v>
      </c>
      <c r="R623" s="84">
        <f t="shared" si="383"/>
        <v>0</v>
      </c>
    </row>
    <row r="624" spans="1:18" ht="25.5">
      <c r="A624" s="78" t="s">
        <v>98</v>
      </c>
      <c r="B624" s="1" t="s">
        <v>402</v>
      </c>
      <c r="C624" s="1" t="s">
        <v>18</v>
      </c>
      <c r="D624" s="1" t="s">
        <v>13</v>
      </c>
      <c r="E624" s="1" t="s">
        <v>363</v>
      </c>
      <c r="F624" s="1" t="s">
        <v>70</v>
      </c>
      <c r="G624" s="1" t="s">
        <v>148</v>
      </c>
      <c r="H624" s="1" t="s">
        <v>360</v>
      </c>
      <c r="I624" s="13" t="s">
        <v>95</v>
      </c>
      <c r="J624" s="84"/>
      <c r="K624" s="84"/>
      <c r="L624" s="84"/>
      <c r="M624" s="84">
        <f>450246.71+1408223.12</f>
        <v>1858469.83</v>
      </c>
      <c r="N624" s="84"/>
      <c r="O624" s="84"/>
      <c r="P624" s="84">
        <f t="shared" si="381"/>
        <v>1858469.83</v>
      </c>
      <c r="Q624" s="84">
        <f t="shared" si="382"/>
        <v>0</v>
      </c>
      <c r="R624" s="84">
        <f t="shared" si="383"/>
        <v>0</v>
      </c>
    </row>
    <row r="625" spans="1:18" ht="25.5">
      <c r="A625" s="78" t="s">
        <v>366</v>
      </c>
      <c r="B625" s="1" t="s">
        <v>402</v>
      </c>
      <c r="C625" s="1" t="s">
        <v>18</v>
      </c>
      <c r="D625" s="1" t="s">
        <v>13</v>
      </c>
      <c r="E625" s="1" t="s">
        <v>363</v>
      </c>
      <c r="F625" s="1" t="s">
        <v>70</v>
      </c>
      <c r="G625" s="1" t="s">
        <v>148</v>
      </c>
      <c r="H625" s="1" t="s">
        <v>364</v>
      </c>
      <c r="I625" s="13"/>
      <c r="J625" s="84">
        <f>J626</f>
        <v>490983</v>
      </c>
      <c r="K625" s="84">
        <f t="shared" ref="K625:O626" si="384">K626</f>
        <v>252499</v>
      </c>
      <c r="L625" s="84">
        <f t="shared" si="384"/>
        <v>252499</v>
      </c>
      <c r="M625" s="84">
        <f t="shared" si="384"/>
        <v>-490983</v>
      </c>
      <c r="N625" s="84">
        <f t="shared" si="384"/>
        <v>-252499</v>
      </c>
      <c r="O625" s="84">
        <f t="shared" si="384"/>
        <v>-252499</v>
      </c>
      <c r="P625" s="84">
        <f t="shared" si="376"/>
        <v>0</v>
      </c>
      <c r="Q625" s="84">
        <f t="shared" si="377"/>
        <v>0</v>
      </c>
      <c r="R625" s="84">
        <f t="shared" si="378"/>
        <v>0</v>
      </c>
    </row>
    <row r="626" spans="1:18" ht="25.5">
      <c r="A626" s="80" t="s">
        <v>260</v>
      </c>
      <c r="B626" s="1" t="s">
        <v>402</v>
      </c>
      <c r="C626" s="1" t="s">
        <v>18</v>
      </c>
      <c r="D626" s="1" t="s">
        <v>13</v>
      </c>
      <c r="E626" s="1" t="s">
        <v>363</v>
      </c>
      <c r="F626" s="1" t="s">
        <v>70</v>
      </c>
      <c r="G626" s="1" t="s">
        <v>148</v>
      </c>
      <c r="H626" s="1" t="s">
        <v>364</v>
      </c>
      <c r="I626" s="13" t="s">
        <v>94</v>
      </c>
      <c r="J626" s="84">
        <f>J627</f>
        <v>490983</v>
      </c>
      <c r="K626" s="84">
        <f t="shared" si="384"/>
        <v>252499</v>
      </c>
      <c r="L626" s="84">
        <f t="shared" si="384"/>
        <v>252499</v>
      </c>
      <c r="M626" s="84">
        <f t="shared" si="384"/>
        <v>-490983</v>
      </c>
      <c r="N626" s="84">
        <f t="shared" si="384"/>
        <v>-252499</v>
      </c>
      <c r="O626" s="84">
        <f t="shared" si="384"/>
        <v>-252499</v>
      </c>
      <c r="P626" s="84">
        <f t="shared" si="376"/>
        <v>0</v>
      </c>
      <c r="Q626" s="84">
        <f t="shared" si="377"/>
        <v>0</v>
      </c>
      <c r="R626" s="84">
        <f t="shared" si="378"/>
        <v>0</v>
      </c>
    </row>
    <row r="627" spans="1:18" ht="25.5">
      <c r="A627" s="78" t="s">
        <v>98</v>
      </c>
      <c r="B627" s="1" t="s">
        <v>402</v>
      </c>
      <c r="C627" s="1" t="s">
        <v>18</v>
      </c>
      <c r="D627" s="1" t="s">
        <v>13</v>
      </c>
      <c r="E627" s="1" t="s">
        <v>363</v>
      </c>
      <c r="F627" s="1" t="s">
        <v>70</v>
      </c>
      <c r="G627" s="1" t="s">
        <v>148</v>
      </c>
      <c r="H627" s="1" t="s">
        <v>364</v>
      </c>
      <c r="I627" s="13" t="s">
        <v>95</v>
      </c>
      <c r="J627" s="84">
        <v>490983</v>
      </c>
      <c r="K627" s="84">
        <v>252499</v>
      </c>
      <c r="L627" s="84">
        <v>252499</v>
      </c>
      <c r="M627" s="84">
        <v>-490983</v>
      </c>
      <c r="N627" s="84">
        <v>-252499</v>
      </c>
      <c r="O627" s="84">
        <v>-252499</v>
      </c>
      <c r="P627" s="84">
        <f t="shared" si="376"/>
        <v>0</v>
      </c>
      <c r="Q627" s="84">
        <f t="shared" si="377"/>
        <v>0</v>
      </c>
      <c r="R627" s="84">
        <f t="shared" si="378"/>
        <v>0</v>
      </c>
    </row>
    <row r="628" spans="1:18">
      <c r="A628" s="78" t="s">
        <v>431</v>
      </c>
      <c r="B628" s="1" t="s">
        <v>402</v>
      </c>
      <c r="C628" s="1" t="s">
        <v>18</v>
      </c>
      <c r="D628" s="1" t="s">
        <v>13</v>
      </c>
      <c r="E628" s="1" t="s">
        <v>363</v>
      </c>
      <c r="F628" s="1" t="s">
        <v>70</v>
      </c>
      <c r="G628" s="1" t="s">
        <v>429</v>
      </c>
      <c r="H628" s="1" t="s">
        <v>430</v>
      </c>
      <c r="I628" s="13"/>
      <c r="J628" s="84">
        <f>J629</f>
        <v>0</v>
      </c>
      <c r="K628" s="84">
        <f t="shared" ref="K628:L629" si="385">K629</f>
        <v>0</v>
      </c>
      <c r="L628" s="84">
        <f t="shared" si="385"/>
        <v>0</v>
      </c>
      <c r="M628" s="84">
        <f t="shared" ref="M628:M629" si="386">M629</f>
        <v>2077550.84</v>
      </c>
      <c r="N628" s="84">
        <f t="shared" ref="N628:N629" si="387">N629</f>
        <v>2480969.13</v>
      </c>
      <c r="O628" s="84">
        <f t="shared" ref="O628:O629" si="388">O629</f>
        <v>252499</v>
      </c>
      <c r="P628" s="84">
        <f t="shared" ref="P628:P630" si="389">J628+M628</f>
        <v>2077550.84</v>
      </c>
      <c r="Q628" s="84">
        <f t="shared" ref="Q628:Q630" si="390">K628+N628</f>
        <v>2480969.13</v>
      </c>
      <c r="R628" s="84">
        <f t="shared" ref="R628:R630" si="391">L628+O628</f>
        <v>252499</v>
      </c>
    </row>
    <row r="629" spans="1:18" ht="25.5">
      <c r="A629" s="80" t="s">
        <v>260</v>
      </c>
      <c r="B629" s="1" t="s">
        <v>402</v>
      </c>
      <c r="C629" s="1" t="s">
        <v>18</v>
      </c>
      <c r="D629" s="1" t="s">
        <v>13</v>
      </c>
      <c r="E629" s="1" t="s">
        <v>363</v>
      </c>
      <c r="F629" s="1" t="s">
        <v>70</v>
      </c>
      <c r="G629" s="1" t="s">
        <v>429</v>
      </c>
      <c r="H629" s="1" t="s">
        <v>430</v>
      </c>
      <c r="I629" s="13" t="s">
        <v>94</v>
      </c>
      <c r="J629" s="84">
        <f>J630</f>
        <v>0</v>
      </c>
      <c r="K629" s="84">
        <f t="shared" si="385"/>
        <v>0</v>
      </c>
      <c r="L629" s="84">
        <f t="shared" si="385"/>
        <v>0</v>
      </c>
      <c r="M629" s="84">
        <f t="shared" si="386"/>
        <v>2077550.84</v>
      </c>
      <c r="N629" s="84">
        <f t="shared" si="387"/>
        <v>2480969.13</v>
      </c>
      <c r="O629" s="84">
        <f t="shared" si="388"/>
        <v>252499</v>
      </c>
      <c r="P629" s="84">
        <f t="shared" si="389"/>
        <v>2077550.84</v>
      </c>
      <c r="Q629" s="84">
        <f t="shared" si="390"/>
        <v>2480969.13</v>
      </c>
      <c r="R629" s="84">
        <f t="shared" si="391"/>
        <v>252499</v>
      </c>
    </row>
    <row r="630" spans="1:18" ht="25.5">
      <c r="A630" s="78" t="s">
        <v>98</v>
      </c>
      <c r="B630" s="1" t="s">
        <v>402</v>
      </c>
      <c r="C630" s="1" t="s">
        <v>18</v>
      </c>
      <c r="D630" s="1" t="s">
        <v>13</v>
      </c>
      <c r="E630" s="1" t="s">
        <v>363</v>
      </c>
      <c r="F630" s="1" t="s">
        <v>70</v>
      </c>
      <c r="G630" s="1" t="s">
        <v>429</v>
      </c>
      <c r="H630" s="1" t="s">
        <v>430</v>
      </c>
      <c r="I630" s="13" t="s">
        <v>95</v>
      </c>
      <c r="J630" s="84"/>
      <c r="K630" s="84"/>
      <c r="L630" s="84"/>
      <c r="M630" s="84">
        <f>2036814.55+40736.29</f>
        <v>2077550.84</v>
      </c>
      <c r="N630" s="84">
        <f>2228470.13+252499</f>
        <v>2480969.13</v>
      </c>
      <c r="O630" s="84">
        <v>252499</v>
      </c>
      <c r="P630" s="84">
        <f t="shared" si="389"/>
        <v>2077550.84</v>
      </c>
      <c r="Q630" s="84">
        <f t="shared" si="390"/>
        <v>2480969.13</v>
      </c>
      <c r="R630" s="84">
        <f t="shared" si="391"/>
        <v>252499</v>
      </c>
    </row>
    <row r="631" spans="1:18">
      <c r="A631" s="9" t="s">
        <v>83</v>
      </c>
      <c r="B631" s="1" t="s">
        <v>402</v>
      </c>
      <c r="C631" s="1" t="s">
        <v>18</v>
      </c>
      <c r="D631" s="1" t="s">
        <v>13</v>
      </c>
      <c r="E631" s="1" t="s">
        <v>82</v>
      </c>
      <c r="F631" s="1" t="s">
        <v>70</v>
      </c>
      <c r="G631" s="1" t="s">
        <v>148</v>
      </c>
      <c r="H631" s="1" t="s">
        <v>149</v>
      </c>
      <c r="I631" s="13"/>
      <c r="J631" s="84">
        <f>J638+J635+J632</f>
        <v>18170519</v>
      </c>
      <c r="K631" s="84">
        <f t="shared" ref="K631:L631" si="392">K638+K635+K632</f>
        <v>18374203.130000003</v>
      </c>
      <c r="L631" s="84">
        <f t="shared" si="392"/>
        <v>18087341.830000002</v>
      </c>
      <c r="M631" s="84">
        <f t="shared" ref="M631:O631" si="393">M638+M635+M632</f>
        <v>500000</v>
      </c>
      <c r="N631" s="84">
        <f t="shared" si="393"/>
        <v>0</v>
      </c>
      <c r="O631" s="84">
        <f t="shared" si="393"/>
        <v>0</v>
      </c>
      <c r="P631" s="84">
        <f t="shared" si="376"/>
        <v>18670519</v>
      </c>
      <c r="Q631" s="84">
        <f t="shared" si="377"/>
        <v>18374203.130000003</v>
      </c>
      <c r="R631" s="84">
        <f t="shared" si="378"/>
        <v>18087341.830000002</v>
      </c>
    </row>
    <row r="632" spans="1:18">
      <c r="A632" s="2" t="s">
        <v>346</v>
      </c>
      <c r="B632" s="1" t="s">
        <v>402</v>
      </c>
      <c r="C632" s="1" t="s">
        <v>18</v>
      </c>
      <c r="D632" s="1" t="s">
        <v>13</v>
      </c>
      <c r="E632" s="1" t="s">
        <v>82</v>
      </c>
      <c r="F632" s="1" t="s">
        <v>70</v>
      </c>
      <c r="G632" s="1" t="s">
        <v>148</v>
      </c>
      <c r="H632" s="1" t="s">
        <v>345</v>
      </c>
      <c r="I632" s="13"/>
      <c r="J632" s="84">
        <f>J633</f>
        <v>750600</v>
      </c>
      <c r="K632" s="84">
        <f t="shared" ref="K632:O633" si="394">K633</f>
        <v>758109.03</v>
      </c>
      <c r="L632" s="84">
        <f t="shared" si="394"/>
        <v>765690.12</v>
      </c>
      <c r="M632" s="84">
        <f t="shared" si="394"/>
        <v>0</v>
      </c>
      <c r="N632" s="84">
        <f t="shared" si="394"/>
        <v>0</v>
      </c>
      <c r="O632" s="84">
        <f t="shared" si="394"/>
        <v>0</v>
      </c>
      <c r="P632" s="84">
        <f t="shared" si="376"/>
        <v>750600</v>
      </c>
      <c r="Q632" s="84">
        <f t="shared" si="377"/>
        <v>758109.03</v>
      </c>
      <c r="R632" s="84">
        <f t="shared" si="378"/>
        <v>765690.12</v>
      </c>
    </row>
    <row r="633" spans="1:18" ht="25.5">
      <c r="A633" s="7" t="s">
        <v>72</v>
      </c>
      <c r="B633" s="1" t="s">
        <v>402</v>
      </c>
      <c r="C633" s="1" t="s">
        <v>18</v>
      </c>
      <c r="D633" s="1" t="s">
        <v>13</v>
      </c>
      <c r="E633" s="1" t="s">
        <v>82</v>
      </c>
      <c r="F633" s="1" t="s">
        <v>70</v>
      </c>
      <c r="G633" s="1" t="s">
        <v>148</v>
      </c>
      <c r="H633" s="1" t="s">
        <v>345</v>
      </c>
      <c r="I633" s="13" t="s">
        <v>71</v>
      </c>
      <c r="J633" s="84">
        <f>J634</f>
        <v>750600</v>
      </c>
      <c r="K633" s="84">
        <f t="shared" si="394"/>
        <v>758109.03</v>
      </c>
      <c r="L633" s="84">
        <f t="shared" si="394"/>
        <v>765690.12</v>
      </c>
      <c r="M633" s="84">
        <f t="shared" si="394"/>
        <v>0</v>
      </c>
      <c r="N633" s="84">
        <f t="shared" si="394"/>
        <v>0</v>
      </c>
      <c r="O633" s="84">
        <f t="shared" si="394"/>
        <v>0</v>
      </c>
      <c r="P633" s="84">
        <f t="shared" si="376"/>
        <v>750600</v>
      </c>
      <c r="Q633" s="84">
        <f t="shared" si="377"/>
        <v>758109.03</v>
      </c>
      <c r="R633" s="84">
        <f t="shared" si="378"/>
        <v>765690.12</v>
      </c>
    </row>
    <row r="634" spans="1:18">
      <c r="A634" s="2" t="s">
        <v>249</v>
      </c>
      <c r="B634" s="1" t="s">
        <v>402</v>
      </c>
      <c r="C634" s="1" t="s">
        <v>18</v>
      </c>
      <c r="D634" s="1" t="s">
        <v>13</v>
      </c>
      <c r="E634" s="1" t="s">
        <v>82</v>
      </c>
      <c r="F634" s="1" t="s">
        <v>70</v>
      </c>
      <c r="G634" s="1" t="s">
        <v>148</v>
      </c>
      <c r="H634" s="1" t="s">
        <v>345</v>
      </c>
      <c r="I634" s="13" t="s">
        <v>246</v>
      </c>
      <c r="J634" s="84">
        <v>750600</v>
      </c>
      <c r="K634" s="84">
        <v>758109.03</v>
      </c>
      <c r="L634" s="84">
        <v>765690.12</v>
      </c>
      <c r="M634" s="84"/>
      <c r="N634" s="84"/>
      <c r="O634" s="84"/>
      <c r="P634" s="84">
        <f t="shared" si="376"/>
        <v>750600</v>
      </c>
      <c r="Q634" s="84">
        <f t="shared" si="377"/>
        <v>758109.03</v>
      </c>
      <c r="R634" s="84">
        <f t="shared" si="378"/>
        <v>765690.12</v>
      </c>
    </row>
    <row r="635" spans="1:18">
      <c r="A635" s="59" t="s">
        <v>362</v>
      </c>
      <c r="B635" s="1" t="s">
        <v>402</v>
      </c>
      <c r="C635" s="1" t="s">
        <v>18</v>
      </c>
      <c r="D635" s="1" t="s">
        <v>13</v>
      </c>
      <c r="E635" s="1" t="s">
        <v>82</v>
      </c>
      <c r="F635" s="1" t="s">
        <v>70</v>
      </c>
      <c r="G635" s="1" t="s">
        <v>148</v>
      </c>
      <c r="H635" s="1" t="s">
        <v>361</v>
      </c>
      <c r="I635" s="13"/>
      <c r="J635" s="84">
        <f>J636</f>
        <v>150000</v>
      </c>
      <c r="K635" s="84">
        <f t="shared" ref="K635:O636" si="395">K636</f>
        <v>150000</v>
      </c>
      <c r="L635" s="84">
        <f t="shared" si="395"/>
        <v>150000</v>
      </c>
      <c r="M635" s="84">
        <f t="shared" si="395"/>
        <v>300000</v>
      </c>
      <c r="N635" s="84">
        <f t="shared" si="395"/>
        <v>0</v>
      </c>
      <c r="O635" s="84">
        <f t="shared" si="395"/>
        <v>0</v>
      </c>
      <c r="P635" s="84">
        <f t="shared" si="376"/>
        <v>450000</v>
      </c>
      <c r="Q635" s="84">
        <f t="shared" si="377"/>
        <v>150000</v>
      </c>
      <c r="R635" s="84">
        <f t="shared" si="378"/>
        <v>150000</v>
      </c>
    </row>
    <row r="636" spans="1:18" ht="25.5">
      <c r="A636" s="80" t="s">
        <v>260</v>
      </c>
      <c r="B636" s="1" t="s">
        <v>402</v>
      </c>
      <c r="C636" s="1" t="s">
        <v>18</v>
      </c>
      <c r="D636" s="1" t="s">
        <v>13</v>
      </c>
      <c r="E636" s="1" t="s">
        <v>82</v>
      </c>
      <c r="F636" s="1" t="s">
        <v>70</v>
      </c>
      <c r="G636" s="1" t="s">
        <v>148</v>
      </c>
      <c r="H636" s="1" t="s">
        <v>361</v>
      </c>
      <c r="I636" s="13" t="s">
        <v>94</v>
      </c>
      <c r="J636" s="84">
        <f>J637</f>
        <v>150000</v>
      </c>
      <c r="K636" s="84">
        <f t="shared" si="395"/>
        <v>150000</v>
      </c>
      <c r="L636" s="84">
        <f t="shared" si="395"/>
        <v>150000</v>
      </c>
      <c r="M636" s="84">
        <f t="shared" si="395"/>
        <v>300000</v>
      </c>
      <c r="N636" s="84">
        <f t="shared" si="395"/>
        <v>0</v>
      </c>
      <c r="O636" s="84">
        <f t="shared" si="395"/>
        <v>0</v>
      </c>
      <c r="P636" s="84">
        <f t="shared" si="376"/>
        <v>450000</v>
      </c>
      <c r="Q636" s="84">
        <f t="shared" si="377"/>
        <v>150000</v>
      </c>
      <c r="R636" s="84">
        <f t="shared" si="378"/>
        <v>150000</v>
      </c>
    </row>
    <row r="637" spans="1:18" ht="25.5">
      <c r="A637" s="78" t="s">
        <v>98</v>
      </c>
      <c r="B637" s="1" t="s">
        <v>402</v>
      </c>
      <c r="C637" s="1" t="s">
        <v>18</v>
      </c>
      <c r="D637" s="1" t="s">
        <v>13</v>
      </c>
      <c r="E637" s="1" t="s">
        <v>82</v>
      </c>
      <c r="F637" s="1" t="s">
        <v>70</v>
      </c>
      <c r="G637" s="1" t="s">
        <v>148</v>
      </c>
      <c r="H637" s="1" t="s">
        <v>361</v>
      </c>
      <c r="I637" s="13" t="s">
        <v>95</v>
      </c>
      <c r="J637" s="84">
        <v>150000</v>
      </c>
      <c r="K637" s="84">
        <v>150000</v>
      </c>
      <c r="L637" s="84">
        <v>150000</v>
      </c>
      <c r="M637" s="84">
        <v>300000</v>
      </c>
      <c r="N637" s="84"/>
      <c r="O637" s="84"/>
      <c r="P637" s="84">
        <f t="shared" si="376"/>
        <v>450000</v>
      </c>
      <c r="Q637" s="84">
        <f t="shared" si="377"/>
        <v>150000</v>
      </c>
      <c r="R637" s="84">
        <f t="shared" si="378"/>
        <v>150000</v>
      </c>
    </row>
    <row r="638" spans="1:18">
      <c r="A638" s="78" t="s">
        <v>367</v>
      </c>
      <c r="B638" s="1" t="s">
        <v>402</v>
      </c>
      <c r="C638" s="1" t="s">
        <v>18</v>
      </c>
      <c r="D638" s="1" t="s">
        <v>13</v>
      </c>
      <c r="E638" s="1" t="s">
        <v>82</v>
      </c>
      <c r="F638" s="1" t="s">
        <v>70</v>
      </c>
      <c r="G638" s="1" t="s">
        <v>148</v>
      </c>
      <c r="H638" s="1" t="s">
        <v>360</v>
      </c>
      <c r="I638" s="13"/>
      <c r="J638" s="84">
        <f>J639+J641+J643</f>
        <v>17269919</v>
      </c>
      <c r="K638" s="84">
        <f t="shared" ref="K638:L638" si="396">K639+K641+K643</f>
        <v>17466094.100000001</v>
      </c>
      <c r="L638" s="84">
        <f t="shared" si="396"/>
        <v>17171651.710000001</v>
      </c>
      <c r="M638" s="84">
        <f t="shared" ref="M638:O638" si="397">M639+M641+M643</f>
        <v>200000</v>
      </c>
      <c r="N638" s="84">
        <f t="shared" si="397"/>
        <v>0</v>
      </c>
      <c r="O638" s="84">
        <f t="shared" si="397"/>
        <v>0</v>
      </c>
      <c r="P638" s="84">
        <f t="shared" si="376"/>
        <v>17469919</v>
      </c>
      <c r="Q638" s="84">
        <f t="shared" si="377"/>
        <v>17466094.100000001</v>
      </c>
      <c r="R638" s="84">
        <f t="shared" si="378"/>
        <v>17171651.710000001</v>
      </c>
    </row>
    <row r="639" spans="1:18" ht="38.25">
      <c r="A639" s="78" t="s">
        <v>96</v>
      </c>
      <c r="B639" s="1" t="s">
        <v>402</v>
      </c>
      <c r="C639" s="1" t="s">
        <v>18</v>
      </c>
      <c r="D639" s="1" t="s">
        <v>13</v>
      </c>
      <c r="E639" s="1" t="s">
        <v>82</v>
      </c>
      <c r="F639" s="1" t="s">
        <v>70</v>
      </c>
      <c r="G639" s="1" t="s">
        <v>148</v>
      </c>
      <c r="H639" s="1" t="s">
        <v>360</v>
      </c>
      <c r="I639" s="13" t="s">
        <v>92</v>
      </c>
      <c r="J639" s="84">
        <f>J640</f>
        <v>8601700</v>
      </c>
      <c r="K639" s="84">
        <f t="shared" ref="K639:O639" si="398">K640</f>
        <v>8683109.2200000007</v>
      </c>
      <c r="L639" s="84">
        <f t="shared" si="398"/>
        <v>8769390.3200000003</v>
      </c>
      <c r="M639" s="84">
        <f t="shared" si="398"/>
        <v>0</v>
      </c>
      <c r="N639" s="84">
        <f t="shared" si="398"/>
        <v>0</v>
      </c>
      <c r="O639" s="84">
        <f t="shared" si="398"/>
        <v>0</v>
      </c>
      <c r="P639" s="84">
        <f t="shared" si="376"/>
        <v>8601700</v>
      </c>
      <c r="Q639" s="84">
        <f t="shared" si="377"/>
        <v>8683109.2200000007</v>
      </c>
      <c r="R639" s="84">
        <f t="shared" si="378"/>
        <v>8769390.3200000003</v>
      </c>
    </row>
    <row r="640" spans="1:18">
      <c r="A640" s="78" t="s">
        <v>97</v>
      </c>
      <c r="B640" s="1" t="s">
        <v>402</v>
      </c>
      <c r="C640" s="1" t="s">
        <v>18</v>
      </c>
      <c r="D640" s="1" t="s">
        <v>13</v>
      </c>
      <c r="E640" s="1" t="s">
        <v>82</v>
      </c>
      <c r="F640" s="1" t="s">
        <v>70</v>
      </c>
      <c r="G640" s="1" t="s">
        <v>148</v>
      </c>
      <c r="H640" s="1" t="s">
        <v>360</v>
      </c>
      <c r="I640" s="13" t="s">
        <v>93</v>
      </c>
      <c r="J640" s="84">
        <v>8601700</v>
      </c>
      <c r="K640" s="84">
        <v>8683109.2200000007</v>
      </c>
      <c r="L640" s="84">
        <v>8769390.3200000003</v>
      </c>
      <c r="M640" s="84"/>
      <c r="N640" s="84"/>
      <c r="O640" s="84"/>
      <c r="P640" s="84">
        <f t="shared" si="376"/>
        <v>8601700</v>
      </c>
      <c r="Q640" s="84">
        <f t="shared" si="377"/>
        <v>8683109.2200000007</v>
      </c>
      <c r="R640" s="84">
        <f t="shared" si="378"/>
        <v>8769390.3200000003</v>
      </c>
    </row>
    <row r="641" spans="1:18" ht="25.5">
      <c r="A641" s="80" t="s">
        <v>260</v>
      </c>
      <c r="B641" s="1" t="s">
        <v>402</v>
      </c>
      <c r="C641" s="1" t="s">
        <v>18</v>
      </c>
      <c r="D641" s="1" t="s">
        <v>13</v>
      </c>
      <c r="E641" s="1" t="s">
        <v>82</v>
      </c>
      <c r="F641" s="1" t="s">
        <v>70</v>
      </c>
      <c r="G641" s="1" t="s">
        <v>148</v>
      </c>
      <c r="H641" s="1" t="s">
        <v>360</v>
      </c>
      <c r="I641" s="13" t="s">
        <v>94</v>
      </c>
      <c r="J641" s="84">
        <f>J642</f>
        <v>8645219</v>
      </c>
      <c r="K641" s="84">
        <f t="shared" ref="K641:O641" si="399">K642</f>
        <v>8759984.879999999</v>
      </c>
      <c r="L641" s="84">
        <f t="shared" si="399"/>
        <v>8379261.3900000006</v>
      </c>
      <c r="M641" s="84">
        <f t="shared" si="399"/>
        <v>200000</v>
      </c>
      <c r="N641" s="84">
        <f t="shared" si="399"/>
        <v>0</v>
      </c>
      <c r="O641" s="84">
        <f t="shared" si="399"/>
        <v>0</v>
      </c>
      <c r="P641" s="84">
        <f t="shared" si="376"/>
        <v>8845219</v>
      </c>
      <c r="Q641" s="84">
        <f t="shared" si="377"/>
        <v>8759984.879999999</v>
      </c>
      <c r="R641" s="84">
        <f t="shared" si="378"/>
        <v>8379261.3900000006</v>
      </c>
    </row>
    <row r="642" spans="1:18" ht="25.5">
      <c r="A642" s="78" t="s">
        <v>98</v>
      </c>
      <c r="B642" s="1" t="s">
        <v>402</v>
      </c>
      <c r="C642" s="1" t="s">
        <v>18</v>
      </c>
      <c r="D642" s="1" t="s">
        <v>13</v>
      </c>
      <c r="E642" s="1" t="s">
        <v>82</v>
      </c>
      <c r="F642" s="1" t="s">
        <v>70</v>
      </c>
      <c r="G642" s="1" t="s">
        <v>148</v>
      </c>
      <c r="H642" s="1" t="s">
        <v>360</v>
      </c>
      <c r="I642" s="13" t="s">
        <v>95</v>
      </c>
      <c r="J642" s="84">
        <f>1349695+1926625+5368899</f>
        <v>8645219</v>
      </c>
      <c r="K642" s="84">
        <f>1394482.8+1896847.12+5468654.96</f>
        <v>8759984.879999999</v>
      </c>
      <c r="L642" s="84">
        <f>1441062.11+1915798.12+5022401.16</f>
        <v>8379261.3900000006</v>
      </c>
      <c r="M642" s="84">
        <f>500000-300000</f>
        <v>200000</v>
      </c>
      <c r="N642" s="84"/>
      <c r="O642" s="84"/>
      <c r="P642" s="84">
        <f t="shared" si="376"/>
        <v>8845219</v>
      </c>
      <c r="Q642" s="84">
        <f t="shared" si="377"/>
        <v>8759984.879999999</v>
      </c>
      <c r="R642" s="84">
        <f t="shared" si="378"/>
        <v>8379261.3900000006</v>
      </c>
    </row>
    <row r="643" spans="1:18">
      <c r="A643" s="78" t="s">
        <v>80</v>
      </c>
      <c r="B643" s="1" t="s">
        <v>402</v>
      </c>
      <c r="C643" s="1" t="s">
        <v>18</v>
      </c>
      <c r="D643" s="1" t="s">
        <v>13</v>
      </c>
      <c r="E643" s="1" t="s">
        <v>82</v>
      </c>
      <c r="F643" s="1" t="s">
        <v>70</v>
      </c>
      <c r="G643" s="1" t="s">
        <v>148</v>
      </c>
      <c r="H643" s="1" t="s">
        <v>360</v>
      </c>
      <c r="I643" s="13" t="s">
        <v>77</v>
      </c>
      <c r="J643" s="84">
        <f>J644</f>
        <v>23000</v>
      </c>
      <c r="K643" s="84">
        <f t="shared" ref="K643:O643" si="400">K644</f>
        <v>23000</v>
      </c>
      <c r="L643" s="84">
        <f t="shared" si="400"/>
        <v>23000</v>
      </c>
      <c r="M643" s="84">
        <f t="shared" si="400"/>
        <v>0</v>
      </c>
      <c r="N643" s="84">
        <f t="shared" si="400"/>
        <v>0</v>
      </c>
      <c r="O643" s="84">
        <f t="shared" si="400"/>
        <v>0</v>
      </c>
      <c r="P643" s="84">
        <f t="shared" si="376"/>
        <v>23000</v>
      </c>
      <c r="Q643" s="84">
        <f t="shared" si="377"/>
        <v>23000</v>
      </c>
      <c r="R643" s="84">
        <f t="shared" si="378"/>
        <v>23000</v>
      </c>
    </row>
    <row r="644" spans="1:18">
      <c r="A644" s="83" t="s">
        <v>125</v>
      </c>
      <c r="B644" s="1" t="s">
        <v>402</v>
      </c>
      <c r="C644" s="1" t="s">
        <v>18</v>
      </c>
      <c r="D644" s="1" t="s">
        <v>13</v>
      </c>
      <c r="E644" s="1" t="s">
        <v>82</v>
      </c>
      <c r="F644" s="1" t="s">
        <v>70</v>
      </c>
      <c r="G644" s="1" t="s">
        <v>148</v>
      </c>
      <c r="H644" s="1" t="s">
        <v>360</v>
      </c>
      <c r="I644" s="13" t="s">
        <v>124</v>
      </c>
      <c r="J644" s="84">
        <v>23000</v>
      </c>
      <c r="K644" s="84">
        <v>23000</v>
      </c>
      <c r="L644" s="84">
        <v>23000</v>
      </c>
      <c r="M644" s="84"/>
      <c r="N644" s="84"/>
      <c r="O644" s="84"/>
      <c r="P644" s="84">
        <f t="shared" si="376"/>
        <v>23000</v>
      </c>
      <c r="Q644" s="84">
        <f t="shared" si="377"/>
        <v>23000</v>
      </c>
      <c r="R644" s="84">
        <f t="shared" si="378"/>
        <v>23000</v>
      </c>
    </row>
    <row r="645" spans="1:18">
      <c r="A645" s="78"/>
      <c r="B645" s="1"/>
      <c r="C645" s="1"/>
      <c r="D645" s="1"/>
      <c r="E645" s="1"/>
      <c r="F645" s="1"/>
      <c r="G645" s="1"/>
      <c r="H645" s="1"/>
      <c r="I645" s="13"/>
      <c r="J645" s="84"/>
      <c r="K645" s="84"/>
      <c r="L645" s="84"/>
      <c r="M645" s="84"/>
      <c r="N645" s="84"/>
      <c r="O645" s="84"/>
      <c r="P645" s="84"/>
      <c r="Q645" s="84"/>
      <c r="R645" s="84"/>
    </row>
    <row r="646" spans="1:18" ht="15.75">
      <c r="A646" s="25" t="s">
        <v>65</v>
      </c>
      <c r="B646" s="30" t="s">
        <v>402</v>
      </c>
      <c r="C646" s="30" t="s">
        <v>3</v>
      </c>
      <c r="D646" s="30"/>
      <c r="E646" s="30"/>
      <c r="F646" s="30"/>
      <c r="G646" s="30"/>
      <c r="H646" s="30"/>
      <c r="I646" s="33"/>
      <c r="J646" s="111">
        <f t="shared" ref="J646:O647" si="401">J647</f>
        <v>10869000</v>
      </c>
      <c r="K646" s="111">
        <f t="shared" si="401"/>
        <v>10869000</v>
      </c>
      <c r="L646" s="111">
        <f t="shared" si="401"/>
        <v>10869000</v>
      </c>
      <c r="M646" s="111">
        <f t="shared" si="401"/>
        <v>2133743.17</v>
      </c>
      <c r="N646" s="111">
        <f t="shared" si="401"/>
        <v>0</v>
      </c>
      <c r="O646" s="111">
        <f t="shared" si="401"/>
        <v>0</v>
      </c>
      <c r="P646" s="111">
        <f t="shared" si="376"/>
        <v>13002743.17</v>
      </c>
      <c r="Q646" s="111">
        <f t="shared" si="377"/>
        <v>10869000</v>
      </c>
      <c r="R646" s="111">
        <f t="shared" si="378"/>
        <v>10869000</v>
      </c>
    </row>
    <row r="647" spans="1:18">
      <c r="A647" s="4" t="s">
        <v>217</v>
      </c>
      <c r="B647" s="15" t="s">
        <v>402</v>
      </c>
      <c r="C647" s="15" t="s">
        <v>3</v>
      </c>
      <c r="D647" s="15" t="s">
        <v>18</v>
      </c>
      <c r="E647" s="15"/>
      <c r="F647" s="15"/>
      <c r="G647" s="15"/>
      <c r="H647" s="15"/>
      <c r="I647" s="27"/>
      <c r="J647" s="112">
        <f t="shared" si="401"/>
        <v>10869000</v>
      </c>
      <c r="K647" s="112">
        <f t="shared" si="401"/>
        <v>10869000</v>
      </c>
      <c r="L647" s="112">
        <f t="shared" si="401"/>
        <v>10869000</v>
      </c>
      <c r="M647" s="112">
        <f t="shared" si="401"/>
        <v>2133743.17</v>
      </c>
      <c r="N647" s="112">
        <f t="shared" si="401"/>
        <v>0</v>
      </c>
      <c r="O647" s="112">
        <f t="shared" si="401"/>
        <v>0</v>
      </c>
      <c r="P647" s="112">
        <f t="shared" si="376"/>
        <v>13002743.17</v>
      </c>
      <c r="Q647" s="112">
        <f t="shared" si="377"/>
        <v>10869000</v>
      </c>
      <c r="R647" s="112">
        <f t="shared" si="378"/>
        <v>10869000</v>
      </c>
    </row>
    <row r="648" spans="1:18" ht="38.25">
      <c r="A648" s="2" t="s">
        <v>292</v>
      </c>
      <c r="B648" s="1" t="s">
        <v>402</v>
      </c>
      <c r="C648" s="1" t="s">
        <v>3</v>
      </c>
      <c r="D648" s="1" t="s">
        <v>18</v>
      </c>
      <c r="E648" s="1" t="s">
        <v>357</v>
      </c>
      <c r="F648" s="1" t="s">
        <v>70</v>
      </c>
      <c r="G648" s="1" t="s">
        <v>148</v>
      </c>
      <c r="H648" s="1" t="s">
        <v>149</v>
      </c>
      <c r="I648" s="13"/>
      <c r="J648" s="84">
        <f>+J652+J649+J655</f>
        <v>10869000</v>
      </c>
      <c r="K648" s="84">
        <f t="shared" ref="K648:L648" si="402">+K652+K649+K655</f>
        <v>10869000</v>
      </c>
      <c r="L648" s="84">
        <f t="shared" si="402"/>
        <v>10869000</v>
      </c>
      <c r="M648" s="84">
        <f t="shared" ref="M648:O648" si="403">+M652+M649+M655</f>
        <v>2133743.17</v>
      </c>
      <c r="N648" s="84">
        <f t="shared" si="403"/>
        <v>0</v>
      </c>
      <c r="O648" s="84">
        <f t="shared" si="403"/>
        <v>0</v>
      </c>
      <c r="P648" s="84">
        <f t="shared" si="376"/>
        <v>13002743.17</v>
      </c>
      <c r="Q648" s="84">
        <f t="shared" si="377"/>
        <v>10869000</v>
      </c>
      <c r="R648" s="84">
        <f t="shared" si="378"/>
        <v>10869000</v>
      </c>
    </row>
    <row r="649" spans="1:18" ht="25.5">
      <c r="A649" s="78" t="s">
        <v>373</v>
      </c>
      <c r="B649" s="1" t="s">
        <v>402</v>
      </c>
      <c r="C649" s="1" t="s">
        <v>3</v>
      </c>
      <c r="D649" s="1" t="s">
        <v>18</v>
      </c>
      <c r="E649" s="1" t="s">
        <v>357</v>
      </c>
      <c r="F649" s="1" t="s">
        <v>70</v>
      </c>
      <c r="G649" s="1" t="s">
        <v>148</v>
      </c>
      <c r="H649" s="1" t="s">
        <v>372</v>
      </c>
      <c r="I649" s="13"/>
      <c r="J649" s="84">
        <f>J650</f>
        <v>5869000</v>
      </c>
      <c r="K649" s="84">
        <f t="shared" ref="K649:O650" si="404">K650</f>
        <v>8469000</v>
      </c>
      <c r="L649" s="84">
        <f t="shared" si="404"/>
        <v>9219000</v>
      </c>
      <c r="M649" s="84">
        <f t="shared" si="404"/>
        <v>2133743.17</v>
      </c>
      <c r="N649" s="84">
        <f t="shared" si="404"/>
        <v>0</v>
      </c>
      <c r="O649" s="84">
        <f t="shared" si="404"/>
        <v>0</v>
      </c>
      <c r="P649" s="84">
        <f t="shared" si="376"/>
        <v>8002743.1699999999</v>
      </c>
      <c r="Q649" s="84">
        <f t="shared" si="377"/>
        <v>8469000</v>
      </c>
      <c r="R649" s="84">
        <f t="shared" si="378"/>
        <v>9219000</v>
      </c>
    </row>
    <row r="650" spans="1:18" ht="25.5">
      <c r="A650" s="80" t="s">
        <v>260</v>
      </c>
      <c r="B650" s="1" t="s">
        <v>402</v>
      </c>
      <c r="C650" s="1" t="s">
        <v>3</v>
      </c>
      <c r="D650" s="1" t="s">
        <v>18</v>
      </c>
      <c r="E650" s="1" t="s">
        <v>357</v>
      </c>
      <c r="F650" s="1" t="s">
        <v>70</v>
      </c>
      <c r="G650" s="1" t="s">
        <v>148</v>
      </c>
      <c r="H650" s="1" t="s">
        <v>372</v>
      </c>
      <c r="I650" s="13" t="s">
        <v>94</v>
      </c>
      <c r="J650" s="84">
        <f>J651</f>
        <v>5869000</v>
      </c>
      <c r="K650" s="84">
        <f t="shared" si="404"/>
        <v>8469000</v>
      </c>
      <c r="L650" s="84">
        <f t="shared" si="404"/>
        <v>9219000</v>
      </c>
      <c r="M650" s="84">
        <f t="shared" si="404"/>
        <v>2133743.17</v>
      </c>
      <c r="N650" s="84">
        <f t="shared" si="404"/>
        <v>0</v>
      </c>
      <c r="O650" s="84">
        <f t="shared" si="404"/>
        <v>0</v>
      </c>
      <c r="P650" s="84">
        <f t="shared" si="376"/>
        <v>8002743.1699999999</v>
      </c>
      <c r="Q650" s="84">
        <f t="shared" si="377"/>
        <v>8469000</v>
      </c>
      <c r="R650" s="84">
        <f t="shared" si="378"/>
        <v>9219000</v>
      </c>
    </row>
    <row r="651" spans="1:18" ht="25.5">
      <c r="A651" s="78" t="s">
        <v>98</v>
      </c>
      <c r="B651" s="1" t="s">
        <v>402</v>
      </c>
      <c r="C651" s="1" t="s">
        <v>3</v>
      </c>
      <c r="D651" s="1" t="s">
        <v>18</v>
      </c>
      <c r="E651" s="1" t="s">
        <v>357</v>
      </c>
      <c r="F651" s="1" t="s">
        <v>70</v>
      </c>
      <c r="G651" s="1" t="s">
        <v>148</v>
      </c>
      <c r="H651" s="1" t="s">
        <v>372</v>
      </c>
      <c r="I651" s="13" t="s">
        <v>95</v>
      </c>
      <c r="J651" s="84">
        <v>5869000</v>
      </c>
      <c r="K651" s="84">
        <v>8469000</v>
      </c>
      <c r="L651" s="84">
        <v>9219000</v>
      </c>
      <c r="M651" s="84">
        <v>2133743.17</v>
      </c>
      <c r="N651" s="84"/>
      <c r="O651" s="84"/>
      <c r="P651" s="84">
        <f t="shared" si="376"/>
        <v>8002743.1699999999</v>
      </c>
      <c r="Q651" s="84">
        <f t="shared" si="377"/>
        <v>8469000</v>
      </c>
      <c r="R651" s="84">
        <f t="shared" si="378"/>
        <v>9219000</v>
      </c>
    </row>
    <row r="652" spans="1:18" ht="18.75" customHeight="1">
      <c r="A652" s="78" t="s">
        <v>371</v>
      </c>
      <c r="B652" s="1" t="s">
        <v>402</v>
      </c>
      <c r="C652" s="1" t="s">
        <v>3</v>
      </c>
      <c r="D652" s="1" t="s">
        <v>18</v>
      </c>
      <c r="E652" s="1" t="s">
        <v>357</v>
      </c>
      <c r="F652" s="1" t="s">
        <v>70</v>
      </c>
      <c r="G652" s="1" t="s">
        <v>148</v>
      </c>
      <c r="H652" s="1" t="s">
        <v>370</v>
      </c>
      <c r="I652" s="13"/>
      <c r="J652" s="84">
        <f>J653</f>
        <v>4850000</v>
      </c>
      <c r="K652" s="84">
        <f t="shared" ref="K652:O653" si="405">K653</f>
        <v>2250000</v>
      </c>
      <c r="L652" s="84">
        <f t="shared" si="405"/>
        <v>1500000</v>
      </c>
      <c r="M652" s="84">
        <f t="shared" si="405"/>
        <v>0</v>
      </c>
      <c r="N652" s="84">
        <f t="shared" si="405"/>
        <v>0</v>
      </c>
      <c r="O652" s="84">
        <f t="shared" si="405"/>
        <v>0</v>
      </c>
      <c r="P652" s="84">
        <f t="shared" si="376"/>
        <v>4850000</v>
      </c>
      <c r="Q652" s="84">
        <f t="shared" si="377"/>
        <v>2250000</v>
      </c>
      <c r="R652" s="84">
        <f t="shared" si="378"/>
        <v>1500000</v>
      </c>
    </row>
    <row r="653" spans="1:18" ht="25.5">
      <c r="A653" s="80" t="s">
        <v>260</v>
      </c>
      <c r="B653" s="1" t="s">
        <v>402</v>
      </c>
      <c r="C653" s="1" t="s">
        <v>3</v>
      </c>
      <c r="D653" s="1" t="s">
        <v>18</v>
      </c>
      <c r="E653" s="1" t="s">
        <v>357</v>
      </c>
      <c r="F653" s="1" t="s">
        <v>70</v>
      </c>
      <c r="G653" s="1" t="s">
        <v>148</v>
      </c>
      <c r="H653" s="1" t="s">
        <v>370</v>
      </c>
      <c r="I653" s="13" t="s">
        <v>94</v>
      </c>
      <c r="J653" s="84">
        <f>J654</f>
        <v>4850000</v>
      </c>
      <c r="K653" s="84">
        <f t="shared" si="405"/>
        <v>2250000</v>
      </c>
      <c r="L653" s="84">
        <f t="shared" si="405"/>
        <v>1500000</v>
      </c>
      <c r="M653" s="84">
        <f t="shared" si="405"/>
        <v>0</v>
      </c>
      <c r="N653" s="84">
        <f t="shared" si="405"/>
        <v>0</v>
      </c>
      <c r="O653" s="84">
        <f t="shared" si="405"/>
        <v>0</v>
      </c>
      <c r="P653" s="84">
        <f t="shared" si="376"/>
        <v>4850000</v>
      </c>
      <c r="Q653" s="84">
        <f t="shared" si="377"/>
        <v>2250000</v>
      </c>
      <c r="R653" s="84">
        <f t="shared" si="378"/>
        <v>1500000</v>
      </c>
    </row>
    <row r="654" spans="1:18" ht="25.5">
      <c r="A654" s="78" t="s">
        <v>98</v>
      </c>
      <c r="B654" s="1" t="s">
        <v>402</v>
      </c>
      <c r="C654" s="1" t="s">
        <v>3</v>
      </c>
      <c r="D654" s="1" t="s">
        <v>18</v>
      </c>
      <c r="E654" s="1" t="s">
        <v>357</v>
      </c>
      <c r="F654" s="1" t="s">
        <v>70</v>
      </c>
      <c r="G654" s="1" t="s">
        <v>148</v>
      </c>
      <c r="H654" s="1" t="s">
        <v>370</v>
      </c>
      <c r="I654" s="13" t="s">
        <v>95</v>
      </c>
      <c r="J654" s="84">
        <v>4850000</v>
      </c>
      <c r="K654" s="84">
        <v>2250000</v>
      </c>
      <c r="L654" s="84">
        <v>1500000</v>
      </c>
      <c r="M654" s="84"/>
      <c r="N654" s="84"/>
      <c r="O654" s="84"/>
      <c r="P654" s="84">
        <f t="shared" si="376"/>
        <v>4850000</v>
      </c>
      <c r="Q654" s="84">
        <f t="shared" si="377"/>
        <v>2250000</v>
      </c>
      <c r="R654" s="84">
        <f t="shared" si="378"/>
        <v>1500000</v>
      </c>
    </row>
    <row r="655" spans="1:18">
      <c r="A655" s="78" t="s">
        <v>384</v>
      </c>
      <c r="B655" s="1" t="s">
        <v>402</v>
      </c>
      <c r="C655" s="1" t="s">
        <v>3</v>
      </c>
      <c r="D655" s="1" t="s">
        <v>18</v>
      </c>
      <c r="E655" s="1" t="s">
        <v>357</v>
      </c>
      <c r="F655" s="1" t="s">
        <v>70</v>
      </c>
      <c r="G655" s="1" t="s">
        <v>148</v>
      </c>
      <c r="H655" s="1" t="s">
        <v>383</v>
      </c>
      <c r="I655" s="13"/>
      <c r="J655" s="84">
        <f>J656</f>
        <v>150000</v>
      </c>
      <c r="K655" s="84">
        <f t="shared" ref="K655:O656" si="406">K656</f>
        <v>150000</v>
      </c>
      <c r="L655" s="84">
        <f t="shared" si="406"/>
        <v>150000</v>
      </c>
      <c r="M655" s="84">
        <f t="shared" si="406"/>
        <v>0</v>
      </c>
      <c r="N655" s="84">
        <f t="shared" si="406"/>
        <v>0</v>
      </c>
      <c r="O655" s="84">
        <f t="shared" si="406"/>
        <v>0</v>
      </c>
      <c r="P655" s="84">
        <f t="shared" si="376"/>
        <v>150000</v>
      </c>
      <c r="Q655" s="84">
        <f t="shared" si="377"/>
        <v>150000</v>
      </c>
      <c r="R655" s="84">
        <f t="shared" si="378"/>
        <v>150000</v>
      </c>
    </row>
    <row r="656" spans="1:18" ht="25.5">
      <c r="A656" s="80" t="s">
        <v>260</v>
      </c>
      <c r="B656" s="1" t="s">
        <v>402</v>
      </c>
      <c r="C656" s="1" t="s">
        <v>3</v>
      </c>
      <c r="D656" s="1" t="s">
        <v>18</v>
      </c>
      <c r="E656" s="1" t="s">
        <v>357</v>
      </c>
      <c r="F656" s="1" t="s">
        <v>70</v>
      </c>
      <c r="G656" s="1" t="s">
        <v>148</v>
      </c>
      <c r="H656" s="1" t="s">
        <v>383</v>
      </c>
      <c r="I656" s="13" t="s">
        <v>94</v>
      </c>
      <c r="J656" s="84">
        <f>J657</f>
        <v>150000</v>
      </c>
      <c r="K656" s="84">
        <f t="shared" si="406"/>
        <v>150000</v>
      </c>
      <c r="L656" s="84">
        <f t="shared" si="406"/>
        <v>150000</v>
      </c>
      <c r="M656" s="84">
        <f t="shared" si="406"/>
        <v>0</v>
      </c>
      <c r="N656" s="84">
        <f t="shared" si="406"/>
        <v>0</v>
      </c>
      <c r="O656" s="84">
        <f t="shared" si="406"/>
        <v>0</v>
      </c>
      <c r="P656" s="84">
        <f t="shared" si="376"/>
        <v>150000</v>
      </c>
      <c r="Q656" s="84">
        <f t="shared" si="377"/>
        <v>150000</v>
      </c>
      <c r="R656" s="84">
        <f t="shared" si="378"/>
        <v>150000</v>
      </c>
    </row>
    <row r="657" spans="1:18" ht="25.5">
      <c r="A657" s="78" t="s">
        <v>98</v>
      </c>
      <c r="B657" s="1" t="s">
        <v>402</v>
      </c>
      <c r="C657" s="1" t="s">
        <v>3</v>
      </c>
      <c r="D657" s="1" t="s">
        <v>18</v>
      </c>
      <c r="E657" s="1" t="s">
        <v>357</v>
      </c>
      <c r="F657" s="1" t="s">
        <v>70</v>
      </c>
      <c r="G657" s="1" t="s">
        <v>148</v>
      </c>
      <c r="H657" s="1" t="s">
        <v>383</v>
      </c>
      <c r="I657" s="13" t="s">
        <v>95</v>
      </c>
      <c r="J657" s="84">
        <v>150000</v>
      </c>
      <c r="K657" s="84">
        <v>150000</v>
      </c>
      <c r="L657" s="84">
        <v>150000</v>
      </c>
      <c r="M657" s="84"/>
      <c r="N657" s="84"/>
      <c r="O657" s="84"/>
      <c r="P657" s="84">
        <f t="shared" si="376"/>
        <v>150000</v>
      </c>
      <c r="Q657" s="84">
        <f t="shared" si="377"/>
        <v>150000</v>
      </c>
      <c r="R657" s="84">
        <f t="shared" si="378"/>
        <v>150000</v>
      </c>
    </row>
    <row r="658" spans="1:18">
      <c r="A658" s="78"/>
      <c r="B658" s="1"/>
      <c r="C658" s="1"/>
      <c r="D658" s="1"/>
      <c r="E658" s="1"/>
      <c r="F658" s="1"/>
      <c r="G658" s="1"/>
      <c r="H658" s="1"/>
      <c r="I658" s="13"/>
      <c r="J658" s="84"/>
      <c r="K658" s="84"/>
      <c r="L658" s="84"/>
      <c r="M658" s="84"/>
      <c r="N658" s="84"/>
      <c r="O658" s="84"/>
      <c r="P658" s="84"/>
      <c r="Q658" s="84"/>
      <c r="R658" s="84"/>
    </row>
    <row r="659" spans="1:18" s="196" customFormat="1" ht="15.75">
      <c r="A659" s="195" t="s">
        <v>24</v>
      </c>
      <c r="B659" s="30" t="s">
        <v>402</v>
      </c>
      <c r="C659" s="30" t="s">
        <v>2</v>
      </c>
      <c r="D659" s="30"/>
      <c r="E659" s="30"/>
      <c r="F659" s="30"/>
      <c r="G659" s="30"/>
      <c r="H659" s="30"/>
      <c r="I659" s="33"/>
      <c r="J659" s="111">
        <f t="shared" ref="J659:J664" si="407">J660</f>
        <v>0</v>
      </c>
      <c r="K659" s="111">
        <f t="shared" ref="K659:O664" si="408">K660</f>
        <v>0</v>
      </c>
      <c r="L659" s="111">
        <f t="shared" si="408"/>
        <v>0</v>
      </c>
      <c r="M659" s="111">
        <f t="shared" si="408"/>
        <v>46530000</v>
      </c>
      <c r="N659" s="111">
        <f t="shared" si="408"/>
        <v>0</v>
      </c>
      <c r="O659" s="111">
        <f t="shared" si="408"/>
        <v>0</v>
      </c>
      <c r="P659" s="111">
        <f t="shared" ref="P659:P665" si="409">J659+M659</f>
        <v>46530000</v>
      </c>
      <c r="Q659" s="111">
        <f t="shared" ref="Q659:Q665" si="410">K659+N659</f>
        <v>0</v>
      </c>
      <c r="R659" s="111">
        <f t="shared" ref="R659:R665" si="411">L659+O659</f>
        <v>0</v>
      </c>
    </row>
    <row r="660" spans="1:18" s="136" customFormat="1">
      <c r="A660" s="197" t="s">
        <v>25</v>
      </c>
      <c r="B660" s="15" t="s">
        <v>402</v>
      </c>
      <c r="C660" s="15" t="s">
        <v>2</v>
      </c>
      <c r="D660" s="15" t="s">
        <v>17</v>
      </c>
      <c r="E660" s="15"/>
      <c r="F660" s="15"/>
      <c r="G660" s="15"/>
      <c r="H660" s="15"/>
      <c r="I660" s="27"/>
      <c r="J660" s="112">
        <f t="shared" si="407"/>
        <v>0</v>
      </c>
      <c r="K660" s="112">
        <f t="shared" si="408"/>
        <v>0</v>
      </c>
      <c r="L660" s="112">
        <f t="shared" si="408"/>
        <v>0</v>
      </c>
      <c r="M660" s="112">
        <f t="shared" si="408"/>
        <v>46530000</v>
      </c>
      <c r="N660" s="112">
        <f t="shared" si="408"/>
        <v>0</v>
      </c>
      <c r="O660" s="112">
        <f t="shared" si="408"/>
        <v>0</v>
      </c>
      <c r="P660" s="112">
        <f t="shared" si="409"/>
        <v>46530000</v>
      </c>
      <c r="Q660" s="112">
        <f t="shared" si="410"/>
        <v>0</v>
      </c>
      <c r="R660" s="112">
        <f t="shared" si="411"/>
        <v>0</v>
      </c>
    </row>
    <row r="661" spans="1:18" ht="38.25">
      <c r="A661" s="78" t="s">
        <v>289</v>
      </c>
      <c r="B661" s="1" t="s">
        <v>402</v>
      </c>
      <c r="C661" s="1" t="s">
        <v>2</v>
      </c>
      <c r="D661" s="1" t="s">
        <v>17</v>
      </c>
      <c r="E661" s="1" t="s">
        <v>27</v>
      </c>
      <c r="F661" s="1" t="s">
        <v>70</v>
      </c>
      <c r="G661" s="1" t="s">
        <v>148</v>
      </c>
      <c r="H661" s="1" t="s">
        <v>149</v>
      </c>
      <c r="I661" s="13"/>
      <c r="J661" s="84">
        <f t="shared" si="407"/>
        <v>0</v>
      </c>
      <c r="K661" s="84">
        <f t="shared" si="408"/>
        <v>0</v>
      </c>
      <c r="L661" s="84">
        <f t="shared" si="408"/>
        <v>0</v>
      </c>
      <c r="M661" s="84">
        <f t="shared" si="408"/>
        <v>46530000</v>
      </c>
      <c r="N661" s="84">
        <f t="shared" si="408"/>
        <v>0</v>
      </c>
      <c r="O661" s="84">
        <f t="shared" si="408"/>
        <v>0</v>
      </c>
      <c r="P661" s="84">
        <f t="shared" si="409"/>
        <v>46530000</v>
      </c>
      <c r="Q661" s="84">
        <f t="shared" si="410"/>
        <v>0</v>
      </c>
      <c r="R661" s="84">
        <f t="shared" si="411"/>
        <v>0</v>
      </c>
    </row>
    <row r="662" spans="1:18">
      <c r="A662" s="78" t="s">
        <v>425</v>
      </c>
      <c r="B662" s="1" t="s">
        <v>402</v>
      </c>
      <c r="C662" s="1" t="s">
        <v>2</v>
      </c>
      <c r="D662" s="1" t="s">
        <v>17</v>
      </c>
      <c r="E662" s="1" t="s">
        <v>27</v>
      </c>
      <c r="F662" s="1" t="s">
        <v>134</v>
      </c>
      <c r="G662" s="1" t="s">
        <v>148</v>
      </c>
      <c r="H662" s="1" t="s">
        <v>149</v>
      </c>
      <c r="I662" s="13"/>
      <c r="J662" s="84">
        <f t="shared" si="407"/>
        <v>0</v>
      </c>
      <c r="K662" s="84">
        <f t="shared" si="408"/>
        <v>0</v>
      </c>
      <c r="L662" s="84">
        <f t="shared" si="408"/>
        <v>0</v>
      </c>
      <c r="M662" s="84">
        <f t="shared" si="408"/>
        <v>46530000</v>
      </c>
      <c r="N662" s="84">
        <f t="shared" si="408"/>
        <v>0</v>
      </c>
      <c r="O662" s="84">
        <f t="shared" si="408"/>
        <v>0</v>
      </c>
      <c r="P662" s="84">
        <f t="shared" si="409"/>
        <v>46530000</v>
      </c>
      <c r="Q662" s="84">
        <f t="shared" si="410"/>
        <v>0</v>
      </c>
      <c r="R662" s="84">
        <f t="shared" si="411"/>
        <v>0</v>
      </c>
    </row>
    <row r="663" spans="1:18" ht="25.5">
      <c r="A663" s="78" t="s">
        <v>426</v>
      </c>
      <c r="B663" s="1" t="s">
        <v>402</v>
      </c>
      <c r="C663" s="1" t="s">
        <v>2</v>
      </c>
      <c r="D663" s="1" t="s">
        <v>17</v>
      </c>
      <c r="E663" s="1" t="s">
        <v>27</v>
      </c>
      <c r="F663" s="1" t="s">
        <v>134</v>
      </c>
      <c r="G663" s="1" t="s">
        <v>148</v>
      </c>
      <c r="H663" s="1" t="s">
        <v>424</v>
      </c>
      <c r="I663" s="13"/>
      <c r="J663" s="84">
        <f t="shared" si="407"/>
        <v>0</v>
      </c>
      <c r="K663" s="84">
        <f t="shared" si="408"/>
        <v>0</v>
      </c>
      <c r="L663" s="84">
        <f t="shared" si="408"/>
        <v>0</v>
      </c>
      <c r="M663" s="84">
        <f t="shared" si="408"/>
        <v>46530000</v>
      </c>
      <c r="N663" s="84">
        <f t="shared" si="408"/>
        <v>0</v>
      </c>
      <c r="O663" s="84">
        <f t="shared" si="408"/>
        <v>0</v>
      </c>
      <c r="P663" s="84">
        <f t="shared" si="409"/>
        <v>46530000</v>
      </c>
      <c r="Q663" s="84">
        <f t="shared" si="410"/>
        <v>0</v>
      </c>
      <c r="R663" s="84">
        <f t="shared" si="411"/>
        <v>0</v>
      </c>
    </row>
    <row r="664" spans="1:18" ht="25.5">
      <c r="A664" s="7" t="s">
        <v>120</v>
      </c>
      <c r="B664" s="1" t="s">
        <v>402</v>
      </c>
      <c r="C664" s="1" t="s">
        <v>2</v>
      </c>
      <c r="D664" s="1" t="s">
        <v>17</v>
      </c>
      <c r="E664" s="1" t="s">
        <v>27</v>
      </c>
      <c r="F664" s="1" t="s">
        <v>134</v>
      </c>
      <c r="G664" s="1" t="s">
        <v>148</v>
      </c>
      <c r="H664" s="1" t="s">
        <v>424</v>
      </c>
      <c r="I664" s="13" t="s">
        <v>118</v>
      </c>
      <c r="J664" s="84">
        <f t="shared" si="407"/>
        <v>0</v>
      </c>
      <c r="K664" s="84">
        <f t="shared" si="408"/>
        <v>0</v>
      </c>
      <c r="L664" s="84">
        <f t="shared" si="408"/>
        <v>0</v>
      </c>
      <c r="M664" s="84">
        <f t="shared" si="408"/>
        <v>46530000</v>
      </c>
      <c r="N664" s="84">
        <f t="shared" si="408"/>
        <v>0</v>
      </c>
      <c r="O664" s="84">
        <f t="shared" si="408"/>
        <v>0</v>
      </c>
      <c r="P664" s="84">
        <f t="shared" si="409"/>
        <v>46530000</v>
      </c>
      <c r="Q664" s="84">
        <f t="shared" si="410"/>
        <v>0</v>
      </c>
      <c r="R664" s="84">
        <f t="shared" si="411"/>
        <v>0</v>
      </c>
    </row>
    <row r="665" spans="1:18">
      <c r="A665" s="7" t="s">
        <v>121</v>
      </c>
      <c r="B665" s="1" t="s">
        <v>402</v>
      </c>
      <c r="C665" s="1" t="s">
        <v>2</v>
      </c>
      <c r="D665" s="1" t="s">
        <v>17</v>
      </c>
      <c r="E665" s="1" t="s">
        <v>27</v>
      </c>
      <c r="F665" s="1" t="s">
        <v>134</v>
      </c>
      <c r="G665" s="1" t="s">
        <v>148</v>
      </c>
      <c r="H665" s="1" t="s">
        <v>424</v>
      </c>
      <c r="I665" s="13" t="s">
        <v>119</v>
      </c>
      <c r="J665" s="84"/>
      <c r="K665" s="84"/>
      <c r="L665" s="84"/>
      <c r="M665" s="84">
        <v>46530000</v>
      </c>
      <c r="N665" s="84"/>
      <c r="O665" s="84"/>
      <c r="P665" s="84">
        <f t="shared" si="409"/>
        <v>46530000</v>
      </c>
      <c r="Q665" s="84">
        <f t="shared" si="410"/>
        <v>0</v>
      </c>
      <c r="R665" s="84">
        <f t="shared" si="411"/>
        <v>0</v>
      </c>
    </row>
    <row r="666" spans="1:18">
      <c r="A666" s="78"/>
      <c r="B666" s="1"/>
      <c r="C666" s="1"/>
      <c r="D666" s="1"/>
      <c r="E666" s="1"/>
      <c r="F666" s="1"/>
      <c r="G666" s="1"/>
      <c r="H666" s="1"/>
      <c r="I666" s="13"/>
      <c r="J666" s="84"/>
      <c r="K666" s="84"/>
      <c r="L666" s="84"/>
      <c r="M666" s="84"/>
      <c r="N666" s="84"/>
      <c r="O666" s="84"/>
      <c r="P666" s="84"/>
      <c r="Q666" s="84"/>
      <c r="R666" s="84"/>
    </row>
    <row r="667" spans="1:18" ht="15.75">
      <c r="A667" s="34" t="s">
        <v>128</v>
      </c>
      <c r="B667" s="26" t="s">
        <v>402</v>
      </c>
      <c r="C667" s="26" t="s">
        <v>14</v>
      </c>
      <c r="D667" s="26"/>
      <c r="E667" s="26"/>
      <c r="F667" s="26"/>
      <c r="G667" s="26"/>
      <c r="H667" s="26"/>
      <c r="I667" s="33"/>
      <c r="J667" s="111">
        <f t="shared" ref="J667:O676" si="412">J668</f>
        <v>672500</v>
      </c>
      <c r="K667" s="111">
        <f t="shared" si="412"/>
        <v>172500</v>
      </c>
      <c r="L667" s="111">
        <f t="shared" si="412"/>
        <v>57500</v>
      </c>
      <c r="M667" s="111">
        <f t="shared" si="412"/>
        <v>0</v>
      </c>
      <c r="N667" s="111">
        <f t="shared" si="412"/>
        <v>0</v>
      </c>
      <c r="O667" s="111">
        <f t="shared" si="412"/>
        <v>0</v>
      </c>
      <c r="P667" s="111">
        <f t="shared" si="376"/>
        <v>672500</v>
      </c>
      <c r="Q667" s="111">
        <f t="shared" si="377"/>
        <v>172500</v>
      </c>
      <c r="R667" s="111">
        <f t="shared" si="378"/>
        <v>57500</v>
      </c>
    </row>
    <row r="668" spans="1:18">
      <c r="A668" s="4" t="s">
        <v>129</v>
      </c>
      <c r="B668" s="14" t="s">
        <v>402</v>
      </c>
      <c r="C668" s="14" t="s">
        <v>14</v>
      </c>
      <c r="D668" s="14" t="s">
        <v>14</v>
      </c>
      <c r="E668" s="14"/>
      <c r="F668" s="14"/>
      <c r="G668" s="14"/>
      <c r="H668" s="14"/>
      <c r="I668" s="27"/>
      <c r="J668" s="112">
        <f>J669+J674</f>
        <v>672500</v>
      </c>
      <c r="K668" s="112">
        <f t="shared" ref="K668:L668" si="413">K669+K674</f>
        <v>172500</v>
      </c>
      <c r="L668" s="112">
        <f t="shared" si="413"/>
        <v>57500</v>
      </c>
      <c r="M668" s="112">
        <f t="shared" ref="M668:O668" si="414">M669+M674</f>
        <v>0</v>
      </c>
      <c r="N668" s="112">
        <f t="shared" si="414"/>
        <v>0</v>
      </c>
      <c r="O668" s="112">
        <f t="shared" si="414"/>
        <v>0</v>
      </c>
      <c r="P668" s="112">
        <f t="shared" si="376"/>
        <v>672500</v>
      </c>
      <c r="Q668" s="112">
        <f t="shared" si="377"/>
        <v>172500</v>
      </c>
      <c r="R668" s="112">
        <f t="shared" si="378"/>
        <v>57500</v>
      </c>
    </row>
    <row r="669" spans="1:18" ht="38.25">
      <c r="A669" s="2" t="s">
        <v>289</v>
      </c>
      <c r="B669" s="10" t="s">
        <v>402</v>
      </c>
      <c r="C669" s="10" t="s">
        <v>14</v>
      </c>
      <c r="D669" s="10" t="s">
        <v>14</v>
      </c>
      <c r="E669" s="60" t="s">
        <v>27</v>
      </c>
      <c r="F669" s="60" t="s">
        <v>70</v>
      </c>
      <c r="G669" s="60" t="s">
        <v>148</v>
      </c>
      <c r="H669" s="60" t="s">
        <v>149</v>
      </c>
      <c r="I669" s="13"/>
      <c r="J669" s="84">
        <f>J670</f>
        <v>500000</v>
      </c>
      <c r="K669" s="84">
        <f t="shared" ref="K669:O669" si="415">K670</f>
        <v>0</v>
      </c>
      <c r="L669" s="84">
        <f t="shared" si="415"/>
        <v>0</v>
      </c>
      <c r="M669" s="84">
        <f t="shared" si="415"/>
        <v>0</v>
      </c>
      <c r="N669" s="84">
        <f t="shared" si="415"/>
        <v>0</v>
      </c>
      <c r="O669" s="84">
        <f t="shared" si="415"/>
        <v>0</v>
      </c>
      <c r="P669" s="84">
        <f t="shared" si="376"/>
        <v>500000</v>
      </c>
      <c r="Q669" s="84">
        <f t="shared" si="377"/>
        <v>0</v>
      </c>
      <c r="R669" s="84">
        <f t="shared" si="378"/>
        <v>0</v>
      </c>
    </row>
    <row r="670" spans="1:18">
      <c r="A670" s="78" t="s">
        <v>224</v>
      </c>
      <c r="B670" s="10" t="s">
        <v>402</v>
      </c>
      <c r="C670" s="10" t="s">
        <v>14</v>
      </c>
      <c r="D670" s="10" t="s">
        <v>14</v>
      </c>
      <c r="E670" s="60" t="s">
        <v>27</v>
      </c>
      <c r="F670" s="60" t="s">
        <v>44</v>
      </c>
      <c r="G670" s="60" t="s">
        <v>148</v>
      </c>
      <c r="H670" s="60" t="s">
        <v>149</v>
      </c>
      <c r="I670" s="13"/>
      <c r="J670" s="84">
        <f t="shared" ref="J670:O672" si="416">J671</f>
        <v>500000</v>
      </c>
      <c r="K670" s="84">
        <f t="shared" si="416"/>
        <v>0</v>
      </c>
      <c r="L670" s="84">
        <f t="shared" si="416"/>
        <v>0</v>
      </c>
      <c r="M670" s="84">
        <f t="shared" si="416"/>
        <v>0</v>
      </c>
      <c r="N670" s="84">
        <f t="shared" si="416"/>
        <v>0</v>
      </c>
      <c r="O670" s="84">
        <f t="shared" si="416"/>
        <v>0</v>
      </c>
      <c r="P670" s="84">
        <f t="shared" si="376"/>
        <v>500000</v>
      </c>
      <c r="Q670" s="84">
        <f t="shared" si="377"/>
        <v>0</v>
      </c>
      <c r="R670" s="84">
        <f t="shared" si="378"/>
        <v>0</v>
      </c>
    </row>
    <row r="671" spans="1:18" ht="25.5">
      <c r="A671" s="78" t="s">
        <v>212</v>
      </c>
      <c r="B671" s="10" t="s">
        <v>402</v>
      </c>
      <c r="C671" s="10" t="s">
        <v>14</v>
      </c>
      <c r="D671" s="10" t="s">
        <v>14</v>
      </c>
      <c r="E671" s="60" t="s">
        <v>27</v>
      </c>
      <c r="F671" s="60" t="s">
        <v>44</v>
      </c>
      <c r="G671" s="60" t="s">
        <v>148</v>
      </c>
      <c r="H671" s="60" t="s">
        <v>213</v>
      </c>
      <c r="I671" s="13"/>
      <c r="J671" s="84">
        <f t="shared" si="416"/>
        <v>500000</v>
      </c>
      <c r="K671" s="84">
        <f t="shared" si="416"/>
        <v>0</v>
      </c>
      <c r="L671" s="84">
        <f t="shared" si="416"/>
        <v>0</v>
      </c>
      <c r="M671" s="84">
        <f t="shared" si="416"/>
        <v>0</v>
      </c>
      <c r="N671" s="84">
        <f t="shared" si="416"/>
        <v>0</v>
      </c>
      <c r="O671" s="84">
        <f t="shared" si="416"/>
        <v>0</v>
      </c>
      <c r="P671" s="84">
        <f t="shared" si="376"/>
        <v>500000</v>
      </c>
      <c r="Q671" s="84">
        <f t="shared" si="377"/>
        <v>0</v>
      </c>
      <c r="R671" s="84">
        <f t="shared" si="378"/>
        <v>0</v>
      </c>
    </row>
    <row r="672" spans="1:18" ht="27.75" customHeight="1">
      <c r="A672" s="80" t="s">
        <v>260</v>
      </c>
      <c r="B672" s="10" t="s">
        <v>402</v>
      </c>
      <c r="C672" s="10" t="s">
        <v>14</v>
      </c>
      <c r="D672" s="10" t="s">
        <v>14</v>
      </c>
      <c r="E672" s="60" t="s">
        <v>27</v>
      </c>
      <c r="F672" s="60" t="s">
        <v>44</v>
      </c>
      <c r="G672" s="60" t="s">
        <v>148</v>
      </c>
      <c r="H672" s="60" t="s">
        <v>213</v>
      </c>
      <c r="I672" s="13" t="s">
        <v>94</v>
      </c>
      <c r="J672" s="84">
        <f t="shared" si="416"/>
        <v>500000</v>
      </c>
      <c r="K672" s="84">
        <f t="shared" si="416"/>
        <v>0</v>
      </c>
      <c r="L672" s="84">
        <f t="shared" si="416"/>
        <v>0</v>
      </c>
      <c r="M672" s="84">
        <f t="shared" si="416"/>
        <v>0</v>
      </c>
      <c r="N672" s="84">
        <f t="shared" si="416"/>
        <v>0</v>
      </c>
      <c r="O672" s="84">
        <f t="shared" si="416"/>
        <v>0</v>
      </c>
      <c r="P672" s="84">
        <f t="shared" si="376"/>
        <v>500000</v>
      </c>
      <c r="Q672" s="84">
        <f t="shared" si="377"/>
        <v>0</v>
      </c>
      <c r="R672" s="84">
        <f t="shared" si="378"/>
        <v>0</v>
      </c>
    </row>
    <row r="673" spans="1:18" ht="27.75" customHeight="1">
      <c r="A673" s="78" t="s">
        <v>98</v>
      </c>
      <c r="B673" s="10" t="s">
        <v>402</v>
      </c>
      <c r="C673" s="10" t="s">
        <v>14</v>
      </c>
      <c r="D673" s="10" t="s">
        <v>14</v>
      </c>
      <c r="E673" s="60" t="s">
        <v>27</v>
      </c>
      <c r="F673" s="60" t="s">
        <v>44</v>
      </c>
      <c r="G673" s="60" t="s">
        <v>148</v>
      </c>
      <c r="H673" s="60" t="s">
        <v>213</v>
      </c>
      <c r="I673" s="13" t="s">
        <v>95</v>
      </c>
      <c r="J673" s="84">
        <v>500000</v>
      </c>
      <c r="K673" s="84"/>
      <c r="L673" s="84"/>
      <c r="M673" s="84"/>
      <c r="N673" s="84"/>
      <c r="O673" s="84"/>
      <c r="P673" s="84">
        <f t="shared" si="376"/>
        <v>500000</v>
      </c>
      <c r="Q673" s="84">
        <f t="shared" si="377"/>
        <v>0</v>
      </c>
      <c r="R673" s="84">
        <f t="shared" si="378"/>
        <v>0</v>
      </c>
    </row>
    <row r="674" spans="1:18" ht="25.5">
      <c r="A674" s="59" t="s">
        <v>393</v>
      </c>
      <c r="B674" s="10" t="s">
        <v>402</v>
      </c>
      <c r="C674" s="10" t="s">
        <v>14</v>
      </c>
      <c r="D674" s="10" t="s">
        <v>14</v>
      </c>
      <c r="E674" s="10" t="s">
        <v>196</v>
      </c>
      <c r="F674" s="10" t="s">
        <v>70</v>
      </c>
      <c r="G674" s="10" t="s">
        <v>148</v>
      </c>
      <c r="H674" s="10" t="s">
        <v>149</v>
      </c>
      <c r="I674" s="13"/>
      <c r="J674" s="84">
        <f>J675</f>
        <v>172500</v>
      </c>
      <c r="K674" s="84">
        <f t="shared" ref="K674:O674" si="417">K675</f>
        <v>172500</v>
      </c>
      <c r="L674" s="84">
        <f t="shared" si="417"/>
        <v>57500</v>
      </c>
      <c r="M674" s="84">
        <f t="shared" si="417"/>
        <v>0</v>
      </c>
      <c r="N674" s="84">
        <f t="shared" si="417"/>
        <v>0</v>
      </c>
      <c r="O674" s="84">
        <f t="shared" si="417"/>
        <v>0</v>
      </c>
      <c r="P674" s="84">
        <f t="shared" si="376"/>
        <v>172500</v>
      </c>
      <c r="Q674" s="84">
        <f t="shared" si="377"/>
        <v>172500</v>
      </c>
      <c r="R674" s="84">
        <f t="shared" si="378"/>
        <v>57500</v>
      </c>
    </row>
    <row r="675" spans="1:18">
      <c r="A675" s="79" t="s">
        <v>197</v>
      </c>
      <c r="B675" s="10" t="s">
        <v>402</v>
      </c>
      <c r="C675" s="10" t="s">
        <v>14</v>
      </c>
      <c r="D675" s="10" t="s">
        <v>14</v>
      </c>
      <c r="E675" s="10" t="s">
        <v>196</v>
      </c>
      <c r="F675" s="10" t="s">
        <v>70</v>
      </c>
      <c r="G675" s="10" t="s">
        <v>148</v>
      </c>
      <c r="H675" s="10" t="s">
        <v>198</v>
      </c>
      <c r="I675" s="13"/>
      <c r="J675" s="84">
        <f t="shared" si="412"/>
        <v>172500</v>
      </c>
      <c r="K675" s="84">
        <f t="shared" si="412"/>
        <v>172500</v>
      </c>
      <c r="L675" s="84">
        <f t="shared" si="412"/>
        <v>57500</v>
      </c>
      <c r="M675" s="84">
        <f t="shared" si="412"/>
        <v>0</v>
      </c>
      <c r="N675" s="84">
        <f t="shared" si="412"/>
        <v>0</v>
      </c>
      <c r="O675" s="84">
        <f t="shared" si="412"/>
        <v>0</v>
      </c>
      <c r="P675" s="84">
        <f t="shared" si="376"/>
        <v>172500</v>
      </c>
      <c r="Q675" s="84">
        <f t="shared" si="377"/>
        <v>172500</v>
      </c>
      <c r="R675" s="84">
        <f t="shared" si="378"/>
        <v>57500</v>
      </c>
    </row>
    <row r="676" spans="1:18">
      <c r="A676" s="9" t="s">
        <v>100</v>
      </c>
      <c r="B676" s="10" t="s">
        <v>402</v>
      </c>
      <c r="C676" s="10" t="s">
        <v>14</v>
      </c>
      <c r="D676" s="10" t="s">
        <v>14</v>
      </c>
      <c r="E676" s="10" t="s">
        <v>196</v>
      </c>
      <c r="F676" s="10" t="s">
        <v>70</v>
      </c>
      <c r="G676" s="10" t="s">
        <v>148</v>
      </c>
      <c r="H676" s="10" t="s">
        <v>198</v>
      </c>
      <c r="I676" s="13" t="s">
        <v>99</v>
      </c>
      <c r="J676" s="84">
        <f t="shared" si="412"/>
        <v>172500</v>
      </c>
      <c r="K676" s="84">
        <f t="shared" si="412"/>
        <v>172500</v>
      </c>
      <c r="L676" s="84">
        <f t="shared" si="412"/>
        <v>57500</v>
      </c>
      <c r="M676" s="84">
        <f t="shared" si="412"/>
        <v>0</v>
      </c>
      <c r="N676" s="84">
        <f t="shared" si="412"/>
        <v>0</v>
      </c>
      <c r="O676" s="84">
        <f t="shared" si="412"/>
        <v>0</v>
      </c>
      <c r="P676" s="84">
        <f t="shared" si="376"/>
        <v>172500</v>
      </c>
      <c r="Q676" s="84">
        <f t="shared" si="377"/>
        <v>172500</v>
      </c>
      <c r="R676" s="84">
        <f t="shared" si="378"/>
        <v>57500</v>
      </c>
    </row>
    <row r="677" spans="1:18" ht="25.5">
      <c r="A677" s="9" t="s">
        <v>106</v>
      </c>
      <c r="B677" s="10" t="s">
        <v>402</v>
      </c>
      <c r="C677" s="10" t="s">
        <v>14</v>
      </c>
      <c r="D677" s="10" t="s">
        <v>14</v>
      </c>
      <c r="E677" s="10" t="s">
        <v>196</v>
      </c>
      <c r="F677" s="10" t="s">
        <v>70</v>
      </c>
      <c r="G677" s="10" t="s">
        <v>148</v>
      </c>
      <c r="H677" s="10" t="s">
        <v>198</v>
      </c>
      <c r="I677" s="13" t="s">
        <v>107</v>
      </c>
      <c r="J677" s="84">
        <v>172500</v>
      </c>
      <c r="K677" s="84">
        <v>172500</v>
      </c>
      <c r="L677" s="84">
        <v>57500</v>
      </c>
      <c r="M677" s="84"/>
      <c r="N677" s="84"/>
      <c r="O677" s="84"/>
      <c r="P677" s="84">
        <f t="shared" si="376"/>
        <v>172500</v>
      </c>
      <c r="Q677" s="84">
        <f t="shared" si="377"/>
        <v>172500</v>
      </c>
      <c r="R677" s="84">
        <f t="shared" si="378"/>
        <v>57500</v>
      </c>
    </row>
    <row r="678" spans="1:18">
      <c r="A678" s="9"/>
      <c r="B678" s="10"/>
      <c r="C678" s="10"/>
      <c r="D678" s="10"/>
      <c r="E678" s="10"/>
      <c r="F678" s="10"/>
      <c r="G678" s="10"/>
      <c r="H678" s="10"/>
      <c r="I678" s="13"/>
      <c r="J678" s="84"/>
      <c r="K678" s="84"/>
      <c r="L678" s="84"/>
      <c r="M678" s="84"/>
      <c r="N678" s="84"/>
      <c r="O678" s="84"/>
      <c r="P678" s="84"/>
      <c r="Q678" s="84"/>
      <c r="R678" s="84"/>
    </row>
    <row r="679" spans="1:18" ht="15.75">
      <c r="A679" s="25" t="s">
        <v>5</v>
      </c>
      <c r="B679" s="30" t="s">
        <v>402</v>
      </c>
      <c r="C679" s="30" t="s">
        <v>30</v>
      </c>
      <c r="D679" s="30"/>
      <c r="E679" s="30"/>
      <c r="F679" s="30"/>
      <c r="G679" s="30"/>
      <c r="H679" s="30"/>
      <c r="I679" s="33"/>
      <c r="J679" s="111">
        <f>J680+J688+J715</f>
        <v>18255380</v>
      </c>
      <c r="K679" s="111">
        <f>K680+K688+K715</f>
        <v>4795700</v>
      </c>
      <c r="L679" s="111">
        <f>L680+L688+L715</f>
        <v>4795700</v>
      </c>
      <c r="M679" s="111">
        <f t="shared" ref="M679:O679" si="418">M680+M688+M715</f>
        <v>986897.66</v>
      </c>
      <c r="N679" s="111">
        <f t="shared" si="418"/>
        <v>0</v>
      </c>
      <c r="O679" s="111">
        <f t="shared" si="418"/>
        <v>0</v>
      </c>
      <c r="P679" s="111">
        <f t="shared" si="376"/>
        <v>19242277.66</v>
      </c>
      <c r="Q679" s="111">
        <f t="shared" si="377"/>
        <v>4795700</v>
      </c>
      <c r="R679" s="111">
        <f t="shared" si="378"/>
        <v>4795700</v>
      </c>
    </row>
    <row r="680" spans="1:18">
      <c r="A680" s="4" t="s">
        <v>6</v>
      </c>
      <c r="B680" s="15" t="s">
        <v>402</v>
      </c>
      <c r="C680" s="15" t="s">
        <v>30</v>
      </c>
      <c r="D680" s="15" t="s">
        <v>20</v>
      </c>
      <c r="E680" s="15"/>
      <c r="F680" s="15"/>
      <c r="G680" s="15"/>
      <c r="H680" s="15"/>
      <c r="I680" s="27"/>
      <c r="J680" s="112">
        <f t="shared" ref="J680:O681" si="419">J681</f>
        <v>4277700</v>
      </c>
      <c r="K680" s="112">
        <f t="shared" si="419"/>
        <v>4277700</v>
      </c>
      <c r="L680" s="112">
        <f t="shared" si="419"/>
        <v>4277700</v>
      </c>
      <c r="M680" s="112">
        <f t="shared" si="419"/>
        <v>0</v>
      </c>
      <c r="N680" s="112">
        <f t="shared" si="419"/>
        <v>0</v>
      </c>
      <c r="O680" s="112">
        <f t="shared" si="419"/>
        <v>0</v>
      </c>
      <c r="P680" s="112">
        <f t="shared" si="376"/>
        <v>4277700</v>
      </c>
      <c r="Q680" s="112">
        <f t="shared" si="377"/>
        <v>4277700</v>
      </c>
      <c r="R680" s="112">
        <f t="shared" si="378"/>
        <v>4277700</v>
      </c>
    </row>
    <row r="681" spans="1:18">
      <c r="A681" s="9" t="s">
        <v>83</v>
      </c>
      <c r="B681" s="10" t="s">
        <v>402</v>
      </c>
      <c r="C681" s="10" t="s">
        <v>30</v>
      </c>
      <c r="D681" s="10" t="s">
        <v>20</v>
      </c>
      <c r="E681" s="66" t="s">
        <v>82</v>
      </c>
      <c r="F681" s="10" t="s">
        <v>70</v>
      </c>
      <c r="G681" s="10" t="s">
        <v>148</v>
      </c>
      <c r="H681" s="10" t="s">
        <v>149</v>
      </c>
      <c r="I681" s="17"/>
      <c r="J681" s="84">
        <f t="shared" si="419"/>
        <v>4277700</v>
      </c>
      <c r="K681" s="84">
        <f t="shared" si="419"/>
        <v>4277700</v>
      </c>
      <c r="L681" s="84">
        <f t="shared" si="419"/>
        <v>4277700</v>
      </c>
      <c r="M681" s="84">
        <f t="shared" si="419"/>
        <v>0</v>
      </c>
      <c r="N681" s="84">
        <f t="shared" si="419"/>
        <v>0</v>
      </c>
      <c r="O681" s="84">
        <f t="shared" si="419"/>
        <v>0</v>
      </c>
      <c r="P681" s="84">
        <f t="shared" si="376"/>
        <v>4277700</v>
      </c>
      <c r="Q681" s="84">
        <f t="shared" si="377"/>
        <v>4277700</v>
      </c>
      <c r="R681" s="84">
        <f t="shared" si="378"/>
        <v>4277700</v>
      </c>
    </row>
    <row r="682" spans="1:18" ht="25.5">
      <c r="A682" s="59" t="s">
        <v>221</v>
      </c>
      <c r="B682" s="10" t="s">
        <v>402</v>
      </c>
      <c r="C682" s="10" t="s">
        <v>30</v>
      </c>
      <c r="D682" s="10" t="s">
        <v>20</v>
      </c>
      <c r="E682" s="66" t="s">
        <v>82</v>
      </c>
      <c r="F682" s="10" t="s">
        <v>70</v>
      </c>
      <c r="G682" s="10" t="s">
        <v>148</v>
      </c>
      <c r="H682" s="10" t="s">
        <v>180</v>
      </c>
      <c r="I682" s="17"/>
      <c r="J682" s="84">
        <f>J683+J685</f>
        <v>4277700</v>
      </c>
      <c r="K682" s="84">
        <f t="shared" ref="K682:L682" si="420">K683+K685</f>
        <v>4277700</v>
      </c>
      <c r="L682" s="84">
        <f t="shared" si="420"/>
        <v>4277700</v>
      </c>
      <c r="M682" s="84">
        <f t="shared" ref="M682:O682" si="421">M683+M685</f>
        <v>0</v>
      </c>
      <c r="N682" s="84">
        <f t="shared" si="421"/>
        <v>0</v>
      </c>
      <c r="O682" s="84">
        <f t="shared" si="421"/>
        <v>0</v>
      </c>
      <c r="P682" s="84">
        <f t="shared" si="376"/>
        <v>4277700</v>
      </c>
      <c r="Q682" s="84">
        <f t="shared" si="377"/>
        <v>4277700</v>
      </c>
      <c r="R682" s="84">
        <f t="shared" si="378"/>
        <v>4277700</v>
      </c>
    </row>
    <row r="683" spans="1:18" ht="25.5">
      <c r="A683" s="80" t="s">
        <v>260</v>
      </c>
      <c r="B683" s="10" t="s">
        <v>402</v>
      </c>
      <c r="C683" s="10" t="s">
        <v>30</v>
      </c>
      <c r="D683" s="10" t="s">
        <v>20</v>
      </c>
      <c r="E683" s="66" t="s">
        <v>82</v>
      </c>
      <c r="F683" s="10" t="s">
        <v>70</v>
      </c>
      <c r="G683" s="10" t="s">
        <v>148</v>
      </c>
      <c r="H683" s="10" t="s">
        <v>180</v>
      </c>
      <c r="I683" s="129" t="s">
        <v>94</v>
      </c>
      <c r="J683" s="84">
        <f>J684</f>
        <v>77700</v>
      </c>
      <c r="K683" s="84">
        <f t="shared" ref="K683:O683" si="422">K684</f>
        <v>77700</v>
      </c>
      <c r="L683" s="84">
        <f t="shared" si="422"/>
        <v>77700</v>
      </c>
      <c r="M683" s="84">
        <f t="shared" si="422"/>
        <v>0</v>
      </c>
      <c r="N683" s="84">
        <f t="shared" si="422"/>
        <v>0</v>
      </c>
      <c r="O683" s="84">
        <f t="shared" si="422"/>
        <v>0</v>
      </c>
      <c r="P683" s="84">
        <f t="shared" si="376"/>
        <v>77700</v>
      </c>
      <c r="Q683" s="84">
        <f t="shared" si="377"/>
        <v>77700</v>
      </c>
      <c r="R683" s="84">
        <f t="shared" si="378"/>
        <v>77700</v>
      </c>
    </row>
    <row r="684" spans="1:18" ht="25.5">
      <c r="A684" s="78" t="s">
        <v>98</v>
      </c>
      <c r="B684" s="10" t="s">
        <v>402</v>
      </c>
      <c r="C684" s="10" t="s">
        <v>30</v>
      </c>
      <c r="D684" s="10" t="s">
        <v>20</v>
      </c>
      <c r="E684" s="66" t="s">
        <v>82</v>
      </c>
      <c r="F684" s="10" t="s">
        <v>70</v>
      </c>
      <c r="G684" s="10" t="s">
        <v>148</v>
      </c>
      <c r="H684" s="10" t="s">
        <v>180</v>
      </c>
      <c r="I684" s="129" t="s">
        <v>95</v>
      </c>
      <c r="J684" s="84">
        <v>77700</v>
      </c>
      <c r="K684" s="84">
        <v>77700</v>
      </c>
      <c r="L684" s="84">
        <v>77700</v>
      </c>
      <c r="M684" s="84"/>
      <c r="N684" s="84"/>
      <c r="O684" s="84"/>
      <c r="P684" s="84">
        <f t="shared" si="376"/>
        <v>77700</v>
      </c>
      <c r="Q684" s="84">
        <f t="shared" si="377"/>
        <v>77700</v>
      </c>
      <c r="R684" s="84">
        <f t="shared" si="378"/>
        <v>77700</v>
      </c>
    </row>
    <row r="685" spans="1:18">
      <c r="A685" s="9" t="s">
        <v>100</v>
      </c>
      <c r="B685" s="10" t="s">
        <v>402</v>
      </c>
      <c r="C685" s="10" t="s">
        <v>30</v>
      </c>
      <c r="D685" s="10" t="s">
        <v>20</v>
      </c>
      <c r="E685" s="66" t="s">
        <v>82</v>
      </c>
      <c r="F685" s="10" t="s">
        <v>70</v>
      </c>
      <c r="G685" s="10" t="s">
        <v>148</v>
      </c>
      <c r="H685" s="10" t="s">
        <v>180</v>
      </c>
      <c r="I685" s="17" t="s">
        <v>99</v>
      </c>
      <c r="J685" s="84">
        <f>J686</f>
        <v>4200000</v>
      </c>
      <c r="K685" s="84">
        <f t="shared" ref="K685:O685" si="423">K686</f>
        <v>4200000</v>
      </c>
      <c r="L685" s="84">
        <f t="shared" si="423"/>
        <v>4200000</v>
      </c>
      <c r="M685" s="84">
        <f t="shared" si="423"/>
        <v>0</v>
      </c>
      <c r="N685" s="84">
        <f t="shared" si="423"/>
        <v>0</v>
      </c>
      <c r="O685" s="84">
        <f t="shared" si="423"/>
        <v>0</v>
      </c>
      <c r="P685" s="84">
        <f t="shared" si="376"/>
        <v>4200000</v>
      </c>
      <c r="Q685" s="84">
        <f t="shared" si="377"/>
        <v>4200000</v>
      </c>
      <c r="R685" s="84">
        <f t="shared" si="378"/>
        <v>4200000</v>
      </c>
    </row>
    <row r="686" spans="1:18">
      <c r="A686" s="9" t="s">
        <v>253</v>
      </c>
      <c r="B686" s="10" t="s">
        <v>402</v>
      </c>
      <c r="C686" s="10" t="s">
        <v>30</v>
      </c>
      <c r="D686" s="10" t="s">
        <v>20</v>
      </c>
      <c r="E686" s="66" t="s">
        <v>82</v>
      </c>
      <c r="F686" s="10" t="s">
        <v>70</v>
      </c>
      <c r="G686" s="10" t="s">
        <v>148</v>
      </c>
      <c r="H686" s="10" t="s">
        <v>180</v>
      </c>
      <c r="I686" s="129" t="s">
        <v>252</v>
      </c>
      <c r="J686" s="84">
        <v>4200000</v>
      </c>
      <c r="K686" s="84">
        <v>4200000</v>
      </c>
      <c r="L686" s="84">
        <v>4200000</v>
      </c>
      <c r="M686" s="84"/>
      <c r="N686" s="84"/>
      <c r="O686" s="84"/>
      <c r="P686" s="84">
        <f t="shared" si="376"/>
        <v>4200000</v>
      </c>
      <c r="Q686" s="84">
        <f t="shared" si="377"/>
        <v>4200000</v>
      </c>
      <c r="R686" s="84">
        <f t="shared" si="378"/>
        <v>4200000</v>
      </c>
    </row>
    <row r="687" spans="1:18">
      <c r="A687" s="9"/>
      <c r="B687" s="10"/>
      <c r="C687" s="10"/>
      <c r="D687" s="10"/>
      <c r="E687" s="66"/>
      <c r="F687" s="10"/>
      <c r="G687" s="10"/>
      <c r="H687" s="10"/>
      <c r="I687" s="13"/>
      <c r="J687" s="84"/>
      <c r="K687" s="84"/>
      <c r="L687" s="84"/>
      <c r="M687" s="84"/>
      <c r="N687" s="84"/>
      <c r="O687" s="84"/>
      <c r="P687" s="84"/>
      <c r="Q687" s="84"/>
      <c r="R687" s="84"/>
    </row>
    <row r="688" spans="1:18">
      <c r="A688" s="4" t="s">
        <v>7</v>
      </c>
      <c r="B688" s="15" t="s">
        <v>402</v>
      </c>
      <c r="C688" s="15" t="s">
        <v>30</v>
      </c>
      <c r="D688" s="15" t="s">
        <v>13</v>
      </c>
      <c r="E688" s="15"/>
      <c r="F688" s="15"/>
      <c r="G688" s="15"/>
      <c r="H688" s="1"/>
      <c r="I688" s="13"/>
      <c r="J688" s="112">
        <f>+J701+J693+J689</f>
        <v>13927680</v>
      </c>
      <c r="K688" s="112">
        <f t="shared" ref="K688:L688" si="424">+K701+K693+K689</f>
        <v>468000</v>
      </c>
      <c r="L688" s="112">
        <f t="shared" si="424"/>
        <v>468000</v>
      </c>
      <c r="M688" s="112">
        <f t="shared" ref="M688:O688" si="425">+M701+M693+M689</f>
        <v>986897.66</v>
      </c>
      <c r="N688" s="112">
        <f t="shared" si="425"/>
        <v>0</v>
      </c>
      <c r="O688" s="112">
        <f t="shared" si="425"/>
        <v>0</v>
      </c>
      <c r="P688" s="112">
        <f t="shared" si="376"/>
        <v>14914577.66</v>
      </c>
      <c r="Q688" s="112">
        <f t="shared" si="377"/>
        <v>468000</v>
      </c>
      <c r="R688" s="112">
        <f t="shared" si="378"/>
        <v>468000</v>
      </c>
    </row>
    <row r="689" spans="1:18" ht="27" customHeight="1">
      <c r="A689" s="124" t="s">
        <v>286</v>
      </c>
      <c r="B689" s="1" t="s">
        <v>402</v>
      </c>
      <c r="C689" s="10" t="s">
        <v>30</v>
      </c>
      <c r="D689" s="10" t="s">
        <v>13</v>
      </c>
      <c r="E689" s="10" t="s">
        <v>3</v>
      </c>
      <c r="F689" s="10" t="s">
        <v>70</v>
      </c>
      <c r="G689" s="10" t="s">
        <v>148</v>
      </c>
      <c r="H689" s="10" t="s">
        <v>149</v>
      </c>
      <c r="I689" s="17"/>
      <c r="J689" s="113">
        <f>J690</f>
        <v>200000</v>
      </c>
      <c r="K689" s="113">
        <f t="shared" ref="K689:O689" si="426">K690</f>
        <v>200000</v>
      </c>
      <c r="L689" s="113">
        <f t="shared" si="426"/>
        <v>200000</v>
      </c>
      <c r="M689" s="113">
        <f t="shared" si="426"/>
        <v>908547.66</v>
      </c>
      <c r="N689" s="113">
        <f t="shared" si="426"/>
        <v>0</v>
      </c>
      <c r="O689" s="113">
        <f t="shared" si="426"/>
        <v>0</v>
      </c>
      <c r="P689" s="113">
        <f t="shared" si="376"/>
        <v>1108547.6600000001</v>
      </c>
      <c r="Q689" s="113">
        <f t="shared" si="377"/>
        <v>200000</v>
      </c>
      <c r="R689" s="113">
        <f t="shared" si="378"/>
        <v>200000</v>
      </c>
    </row>
    <row r="690" spans="1:18">
      <c r="A690" s="179" t="s">
        <v>385</v>
      </c>
      <c r="B690" s="1" t="s">
        <v>402</v>
      </c>
      <c r="C690" s="10" t="s">
        <v>30</v>
      </c>
      <c r="D690" s="10" t="s">
        <v>13</v>
      </c>
      <c r="E690" s="10" t="s">
        <v>3</v>
      </c>
      <c r="F690" s="10" t="s">
        <v>70</v>
      </c>
      <c r="G690" s="10" t="s">
        <v>148</v>
      </c>
      <c r="H690" s="60" t="s">
        <v>386</v>
      </c>
      <c r="I690" s="17"/>
      <c r="J690" s="113">
        <f t="shared" ref="J690:O691" si="427">J691</f>
        <v>200000</v>
      </c>
      <c r="K690" s="113">
        <f t="shared" si="427"/>
        <v>200000</v>
      </c>
      <c r="L690" s="113">
        <f t="shared" si="427"/>
        <v>200000</v>
      </c>
      <c r="M690" s="113">
        <f t="shared" si="427"/>
        <v>908547.66</v>
      </c>
      <c r="N690" s="113">
        <f t="shared" si="427"/>
        <v>0</v>
      </c>
      <c r="O690" s="113">
        <f t="shared" si="427"/>
        <v>0</v>
      </c>
      <c r="P690" s="113">
        <f t="shared" si="376"/>
        <v>1108547.6600000001</v>
      </c>
      <c r="Q690" s="113">
        <f t="shared" si="377"/>
        <v>200000</v>
      </c>
      <c r="R690" s="113">
        <f t="shared" si="378"/>
        <v>200000</v>
      </c>
    </row>
    <row r="691" spans="1:18">
      <c r="A691" s="9" t="s">
        <v>100</v>
      </c>
      <c r="B691" s="1" t="s">
        <v>402</v>
      </c>
      <c r="C691" s="10" t="s">
        <v>30</v>
      </c>
      <c r="D691" s="10" t="s">
        <v>13</v>
      </c>
      <c r="E691" s="10" t="s">
        <v>3</v>
      </c>
      <c r="F691" s="10" t="s">
        <v>70</v>
      </c>
      <c r="G691" s="10" t="s">
        <v>148</v>
      </c>
      <c r="H691" s="60" t="s">
        <v>386</v>
      </c>
      <c r="I691" s="17" t="s">
        <v>99</v>
      </c>
      <c r="J691" s="113">
        <f t="shared" si="427"/>
        <v>200000</v>
      </c>
      <c r="K691" s="113">
        <f t="shared" si="427"/>
        <v>200000</v>
      </c>
      <c r="L691" s="113">
        <f t="shared" si="427"/>
        <v>200000</v>
      </c>
      <c r="M691" s="113">
        <f t="shared" si="427"/>
        <v>908547.66</v>
      </c>
      <c r="N691" s="113">
        <f t="shared" si="427"/>
        <v>0</v>
      </c>
      <c r="O691" s="113">
        <f t="shared" si="427"/>
        <v>0</v>
      </c>
      <c r="P691" s="113">
        <f t="shared" si="376"/>
        <v>1108547.6600000001</v>
      </c>
      <c r="Q691" s="113">
        <f t="shared" si="377"/>
        <v>200000</v>
      </c>
      <c r="R691" s="113">
        <f t="shared" si="378"/>
        <v>200000</v>
      </c>
    </row>
    <row r="692" spans="1:18" ht="25.5">
      <c r="A692" s="9" t="s">
        <v>106</v>
      </c>
      <c r="B692" s="1" t="s">
        <v>402</v>
      </c>
      <c r="C692" s="10" t="s">
        <v>30</v>
      </c>
      <c r="D692" s="10" t="s">
        <v>13</v>
      </c>
      <c r="E692" s="10" t="s">
        <v>3</v>
      </c>
      <c r="F692" s="10" t="s">
        <v>70</v>
      </c>
      <c r="G692" s="10" t="s">
        <v>148</v>
      </c>
      <c r="H692" s="60" t="s">
        <v>386</v>
      </c>
      <c r="I692" s="17" t="s">
        <v>107</v>
      </c>
      <c r="J692" s="113">
        <v>200000</v>
      </c>
      <c r="K692" s="113">
        <v>200000</v>
      </c>
      <c r="L692" s="113">
        <v>200000</v>
      </c>
      <c r="M692" s="113">
        <v>908547.66</v>
      </c>
      <c r="N692" s="113"/>
      <c r="O692" s="113"/>
      <c r="P692" s="113">
        <f t="shared" si="376"/>
        <v>1108547.6600000001</v>
      </c>
      <c r="Q692" s="113">
        <f t="shared" si="377"/>
        <v>200000</v>
      </c>
      <c r="R692" s="113">
        <f t="shared" si="378"/>
        <v>200000</v>
      </c>
    </row>
    <row r="693" spans="1:18" ht="38.25">
      <c r="A693" s="2" t="s">
        <v>289</v>
      </c>
      <c r="B693" s="1" t="s">
        <v>402</v>
      </c>
      <c r="C693" s="10" t="s">
        <v>30</v>
      </c>
      <c r="D693" s="10" t="s">
        <v>13</v>
      </c>
      <c r="E693" s="1" t="s">
        <v>27</v>
      </c>
      <c r="F693" s="1" t="s">
        <v>70</v>
      </c>
      <c r="G693" s="1" t="s">
        <v>148</v>
      </c>
      <c r="H693" s="1" t="s">
        <v>149</v>
      </c>
      <c r="I693" s="13"/>
      <c r="J693" s="84">
        <f>J694</f>
        <v>13459680</v>
      </c>
      <c r="K693" s="84">
        <f t="shared" ref="K693:O693" si="428">K694</f>
        <v>0</v>
      </c>
      <c r="L693" s="84">
        <f t="shared" si="428"/>
        <v>0</v>
      </c>
      <c r="M693" s="84">
        <f t="shared" si="428"/>
        <v>0</v>
      </c>
      <c r="N693" s="84">
        <f t="shared" si="428"/>
        <v>0</v>
      </c>
      <c r="O693" s="84">
        <f t="shared" si="428"/>
        <v>0</v>
      </c>
      <c r="P693" s="84">
        <f t="shared" si="376"/>
        <v>13459680</v>
      </c>
      <c r="Q693" s="84">
        <f t="shared" si="377"/>
        <v>0</v>
      </c>
      <c r="R693" s="84">
        <f t="shared" si="378"/>
        <v>0</v>
      </c>
    </row>
    <row r="694" spans="1:18">
      <c r="A694" s="7" t="s">
        <v>215</v>
      </c>
      <c r="B694" s="1" t="s">
        <v>402</v>
      </c>
      <c r="C694" s="10" t="s">
        <v>30</v>
      </c>
      <c r="D694" s="10" t="s">
        <v>13</v>
      </c>
      <c r="E694" s="1" t="s">
        <v>27</v>
      </c>
      <c r="F694" s="1" t="s">
        <v>127</v>
      </c>
      <c r="G694" s="1" t="s">
        <v>148</v>
      </c>
      <c r="H694" s="1" t="s">
        <v>149</v>
      </c>
      <c r="I694" s="13"/>
      <c r="J694" s="84">
        <f>J695+J698</f>
        <v>13459680</v>
      </c>
      <c r="K694" s="84">
        <f t="shared" ref="K694:L694" si="429">K695+K698</f>
        <v>0</v>
      </c>
      <c r="L694" s="84">
        <f t="shared" si="429"/>
        <v>0</v>
      </c>
      <c r="M694" s="84">
        <f t="shared" ref="M694:O694" si="430">M695+M698</f>
        <v>0</v>
      </c>
      <c r="N694" s="84">
        <f t="shared" si="430"/>
        <v>0</v>
      </c>
      <c r="O694" s="84">
        <f t="shared" si="430"/>
        <v>0</v>
      </c>
      <c r="P694" s="84">
        <f t="shared" si="376"/>
        <v>13459680</v>
      </c>
      <c r="Q694" s="84">
        <f t="shared" si="377"/>
        <v>0</v>
      </c>
      <c r="R694" s="84">
        <f t="shared" si="378"/>
        <v>0</v>
      </c>
    </row>
    <row r="695" spans="1:18" ht="65.25" customHeight="1">
      <c r="A695" s="142" t="s">
        <v>255</v>
      </c>
      <c r="B695" s="1" t="s">
        <v>402</v>
      </c>
      <c r="C695" s="10" t="s">
        <v>30</v>
      </c>
      <c r="D695" s="10" t="s">
        <v>13</v>
      </c>
      <c r="E695" s="60" t="s">
        <v>27</v>
      </c>
      <c r="F695" s="60" t="s">
        <v>127</v>
      </c>
      <c r="G695" s="60" t="s">
        <v>256</v>
      </c>
      <c r="H695" s="60" t="s">
        <v>257</v>
      </c>
      <c r="I695" s="129"/>
      <c r="J695" s="84">
        <f>+J696</f>
        <v>13190486.4</v>
      </c>
      <c r="K695" s="84">
        <f t="shared" ref="K695:O695" si="431">+K696</f>
        <v>0</v>
      </c>
      <c r="L695" s="84">
        <f t="shared" si="431"/>
        <v>0</v>
      </c>
      <c r="M695" s="84">
        <f t="shared" si="431"/>
        <v>0</v>
      </c>
      <c r="N695" s="84">
        <f t="shared" si="431"/>
        <v>0</v>
      </c>
      <c r="O695" s="84">
        <f t="shared" si="431"/>
        <v>0</v>
      </c>
      <c r="P695" s="84">
        <f t="shared" si="376"/>
        <v>13190486.4</v>
      </c>
      <c r="Q695" s="84">
        <f t="shared" si="377"/>
        <v>0</v>
      </c>
      <c r="R695" s="84">
        <f t="shared" si="378"/>
        <v>0</v>
      </c>
    </row>
    <row r="696" spans="1:18">
      <c r="A696" s="9" t="s">
        <v>100</v>
      </c>
      <c r="B696" s="1" t="s">
        <v>402</v>
      </c>
      <c r="C696" s="10" t="s">
        <v>30</v>
      </c>
      <c r="D696" s="10" t="s">
        <v>13</v>
      </c>
      <c r="E696" s="60" t="s">
        <v>27</v>
      </c>
      <c r="F696" s="60" t="s">
        <v>127</v>
      </c>
      <c r="G696" s="60" t="s">
        <v>256</v>
      </c>
      <c r="H696" s="60" t="s">
        <v>257</v>
      </c>
      <c r="I696" s="129" t="s">
        <v>99</v>
      </c>
      <c r="J696" s="84">
        <f>J697</f>
        <v>13190486.4</v>
      </c>
      <c r="K696" s="84">
        <f t="shared" ref="K696:O696" si="432">K697</f>
        <v>0</v>
      </c>
      <c r="L696" s="84">
        <f t="shared" si="432"/>
        <v>0</v>
      </c>
      <c r="M696" s="84">
        <f t="shared" si="432"/>
        <v>0</v>
      </c>
      <c r="N696" s="84">
        <f t="shared" si="432"/>
        <v>0</v>
      </c>
      <c r="O696" s="84">
        <f t="shared" si="432"/>
        <v>0</v>
      </c>
      <c r="P696" s="84">
        <f t="shared" si="376"/>
        <v>13190486.4</v>
      </c>
      <c r="Q696" s="84">
        <f t="shared" si="377"/>
        <v>0</v>
      </c>
      <c r="R696" s="84">
        <f t="shared" si="378"/>
        <v>0</v>
      </c>
    </row>
    <row r="697" spans="1:18" ht="25.5">
      <c r="A697" s="9" t="s">
        <v>106</v>
      </c>
      <c r="B697" s="1" t="s">
        <v>402</v>
      </c>
      <c r="C697" s="10" t="s">
        <v>30</v>
      </c>
      <c r="D697" s="10" t="s">
        <v>13</v>
      </c>
      <c r="E697" s="60" t="s">
        <v>27</v>
      </c>
      <c r="F697" s="60" t="s">
        <v>127</v>
      </c>
      <c r="G697" s="60" t="s">
        <v>256</v>
      </c>
      <c r="H697" s="60" t="s">
        <v>257</v>
      </c>
      <c r="I697" s="129" t="s">
        <v>107</v>
      </c>
      <c r="J697" s="84">
        <v>13190486.4</v>
      </c>
      <c r="K697" s="84"/>
      <c r="L697" s="84"/>
      <c r="M697" s="84"/>
      <c r="N697" s="84"/>
      <c r="O697" s="84"/>
      <c r="P697" s="84">
        <f t="shared" si="376"/>
        <v>13190486.4</v>
      </c>
      <c r="Q697" s="84">
        <f t="shared" si="377"/>
        <v>0</v>
      </c>
      <c r="R697" s="84">
        <f t="shared" si="378"/>
        <v>0</v>
      </c>
    </row>
    <row r="698" spans="1:18" ht="51.75" customHeight="1">
      <c r="A698" s="142" t="s">
        <v>258</v>
      </c>
      <c r="B698" s="1" t="s">
        <v>402</v>
      </c>
      <c r="C698" s="10" t="s">
        <v>30</v>
      </c>
      <c r="D698" s="10" t="s">
        <v>13</v>
      </c>
      <c r="E698" s="60" t="s">
        <v>27</v>
      </c>
      <c r="F698" s="60" t="s">
        <v>127</v>
      </c>
      <c r="G698" s="60" t="s">
        <v>256</v>
      </c>
      <c r="H698" s="60" t="s">
        <v>259</v>
      </c>
      <c r="I698" s="129"/>
      <c r="J698" s="84">
        <f>J699</f>
        <v>269193.59999999998</v>
      </c>
      <c r="K698" s="84">
        <f t="shared" ref="K698:O699" si="433">K699</f>
        <v>0</v>
      </c>
      <c r="L698" s="84">
        <f t="shared" si="433"/>
        <v>0</v>
      </c>
      <c r="M698" s="84">
        <f t="shared" si="433"/>
        <v>0</v>
      </c>
      <c r="N698" s="84">
        <f t="shared" si="433"/>
        <v>0</v>
      </c>
      <c r="O698" s="84">
        <f t="shared" si="433"/>
        <v>0</v>
      </c>
      <c r="P698" s="84">
        <f t="shared" ref="P698:P753" si="434">J698+M698</f>
        <v>269193.59999999998</v>
      </c>
      <c r="Q698" s="84">
        <f t="shared" ref="Q698:Q753" si="435">K698+N698</f>
        <v>0</v>
      </c>
      <c r="R698" s="84">
        <f t="shared" ref="R698:R753" si="436">L698+O698</f>
        <v>0</v>
      </c>
    </row>
    <row r="699" spans="1:18">
      <c r="A699" s="9" t="s">
        <v>100</v>
      </c>
      <c r="B699" s="1" t="s">
        <v>402</v>
      </c>
      <c r="C699" s="10" t="s">
        <v>30</v>
      </c>
      <c r="D699" s="10" t="s">
        <v>13</v>
      </c>
      <c r="E699" s="60" t="s">
        <v>27</v>
      </c>
      <c r="F699" s="60" t="s">
        <v>127</v>
      </c>
      <c r="G699" s="60" t="s">
        <v>256</v>
      </c>
      <c r="H699" s="60" t="s">
        <v>259</v>
      </c>
      <c r="I699" s="129" t="s">
        <v>99</v>
      </c>
      <c r="J699" s="84">
        <f>J700</f>
        <v>269193.59999999998</v>
      </c>
      <c r="K699" s="84">
        <f t="shared" si="433"/>
        <v>0</v>
      </c>
      <c r="L699" s="84">
        <f t="shared" si="433"/>
        <v>0</v>
      </c>
      <c r="M699" s="84">
        <f t="shared" si="433"/>
        <v>0</v>
      </c>
      <c r="N699" s="84">
        <f t="shared" si="433"/>
        <v>0</v>
      </c>
      <c r="O699" s="84">
        <f t="shared" si="433"/>
        <v>0</v>
      </c>
      <c r="P699" s="84">
        <f t="shared" si="434"/>
        <v>269193.59999999998</v>
      </c>
      <c r="Q699" s="84">
        <f t="shared" si="435"/>
        <v>0</v>
      </c>
      <c r="R699" s="84">
        <f t="shared" si="436"/>
        <v>0</v>
      </c>
    </row>
    <row r="700" spans="1:18" ht="25.5">
      <c r="A700" s="9" t="s">
        <v>106</v>
      </c>
      <c r="B700" s="1" t="s">
        <v>402</v>
      </c>
      <c r="C700" s="10" t="s">
        <v>30</v>
      </c>
      <c r="D700" s="10" t="s">
        <v>13</v>
      </c>
      <c r="E700" s="60" t="s">
        <v>27</v>
      </c>
      <c r="F700" s="60" t="s">
        <v>127</v>
      </c>
      <c r="G700" s="60" t="s">
        <v>256</v>
      </c>
      <c r="H700" s="60" t="s">
        <v>259</v>
      </c>
      <c r="I700" s="129" t="s">
        <v>107</v>
      </c>
      <c r="J700" s="84">
        <v>269193.59999999998</v>
      </c>
      <c r="K700" s="84"/>
      <c r="L700" s="84"/>
      <c r="M700" s="84"/>
      <c r="N700" s="84"/>
      <c r="O700" s="84"/>
      <c r="P700" s="84">
        <f t="shared" si="434"/>
        <v>269193.59999999998</v>
      </c>
      <c r="Q700" s="84">
        <f t="shared" si="435"/>
        <v>0</v>
      </c>
      <c r="R700" s="84">
        <f t="shared" si="436"/>
        <v>0</v>
      </c>
    </row>
    <row r="701" spans="1:18">
      <c r="A701" s="2" t="s">
        <v>83</v>
      </c>
      <c r="B701" s="1" t="s">
        <v>402</v>
      </c>
      <c r="C701" s="1" t="s">
        <v>30</v>
      </c>
      <c r="D701" s="1" t="s">
        <v>13</v>
      </c>
      <c r="E701" s="1" t="s">
        <v>82</v>
      </c>
      <c r="F701" s="1" t="s">
        <v>70</v>
      </c>
      <c r="G701" s="1" t="s">
        <v>148</v>
      </c>
      <c r="H701" s="1" t="s">
        <v>149</v>
      </c>
      <c r="I701" s="13"/>
      <c r="J701" s="84">
        <f>J702+J705+J708+J711</f>
        <v>268000</v>
      </c>
      <c r="K701" s="84">
        <f t="shared" ref="K701:O701" si="437">K702+K705+K708+K711</f>
        <v>268000</v>
      </c>
      <c r="L701" s="84">
        <f t="shared" si="437"/>
        <v>268000</v>
      </c>
      <c r="M701" s="84">
        <f t="shared" si="437"/>
        <v>78350</v>
      </c>
      <c r="N701" s="84">
        <f t="shared" si="437"/>
        <v>0</v>
      </c>
      <c r="O701" s="84">
        <f t="shared" si="437"/>
        <v>0</v>
      </c>
      <c r="P701" s="84">
        <f t="shared" si="434"/>
        <v>346350</v>
      </c>
      <c r="Q701" s="84">
        <f t="shared" si="435"/>
        <v>268000</v>
      </c>
      <c r="R701" s="84">
        <f t="shared" si="436"/>
        <v>268000</v>
      </c>
    </row>
    <row r="702" spans="1:18">
      <c r="A702" s="2" t="s">
        <v>108</v>
      </c>
      <c r="B702" s="1" t="s">
        <v>402</v>
      </c>
      <c r="C702" s="1" t="s">
        <v>30</v>
      </c>
      <c r="D702" s="1" t="s">
        <v>13</v>
      </c>
      <c r="E702" s="1" t="s">
        <v>82</v>
      </c>
      <c r="F702" s="1" t="s">
        <v>70</v>
      </c>
      <c r="G702" s="1" t="s">
        <v>148</v>
      </c>
      <c r="H702" s="1" t="s">
        <v>181</v>
      </c>
      <c r="I702" s="13"/>
      <c r="J702" s="84">
        <f>J703</f>
        <v>80000</v>
      </c>
      <c r="K702" s="84">
        <f t="shared" ref="K702:O703" si="438">K703</f>
        <v>80000</v>
      </c>
      <c r="L702" s="84">
        <f t="shared" si="438"/>
        <v>80000</v>
      </c>
      <c r="M702" s="84">
        <f t="shared" si="438"/>
        <v>0</v>
      </c>
      <c r="N702" s="84">
        <f t="shared" si="438"/>
        <v>0</v>
      </c>
      <c r="O702" s="84">
        <f t="shared" si="438"/>
        <v>0</v>
      </c>
      <c r="P702" s="84">
        <f t="shared" si="434"/>
        <v>80000</v>
      </c>
      <c r="Q702" s="84">
        <f t="shared" si="435"/>
        <v>80000</v>
      </c>
      <c r="R702" s="84">
        <f t="shared" si="436"/>
        <v>80000</v>
      </c>
    </row>
    <row r="703" spans="1:18">
      <c r="A703" s="9" t="s">
        <v>100</v>
      </c>
      <c r="B703" s="1" t="s">
        <v>402</v>
      </c>
      <c r="C703" s="1" t="s">
        <v>30</v>
      </c>
      <c r="D703" s="1" t="s">
        <v>13</v>
      </c>
      <c r="E703" s="1" t="s">
        <v>82</v>
      </c>
      <c r="F703" s="1" t="s">
        <v>70</v>
      </c>
      <c r="G703" s="1" t="s">
        <v>148</v>
      </c>
      <c r="H703" s="1" t="s">
        <v>181</v>
      </c>
      <c r="I703" s="13" t="s">
        <v>99</v>
      </c>
      <c r="J703" s="84">
        <f>J704</f>
        <v>80000</v>
      </c>
      <c r="K703" s="84">
        <f t="shared" si="438"/>
        <v>80000</v>
      </c>
      <c r="L703" s="84">
        <f t="shared" si="438"/>
        <v>80000</v>
      </c>
      <c r="M703" s="84">
        <f t="shared" si="438"/>
        <v>0</v>
      </c>
      <c r="N703" s="84">
        <f t="shared" si="438"/>
        <v>0</v>
      </c>
      <c r="O703" s="84">
        <f t="shared" si="438"/>
        <v>0</v>
      </c>
      <c r="P703" s="84">
        <f t="shared" si="434"/>
        <v>80000</v>
      </c>
      <c r="Q703" s="84">
        <f t="shared" si="435"/>
        <v>80000</v>
      </c>
      <c r="R703" s="84">
        <f t="shared" si="436"/>
        <v>80000</v>
      </c>
    </row>
    <row r="704" spans="1:18">
      <c r="A704" s="78" t="s">
        <v>117</v>
      </c>
      <c r="B704" s="1" t="s">
        <v>402</v>
      </c>
      <c r="C704" s="1" t="s">
        <v>30</v>
      </c>
      <c r="D704" s="1" t="s">
        <v>13</v>
      </c>
      <c r="E704" s="1" t="s">
        <v>82</v>
      </c>
      <c r="F704" s="1" t="s">
        <v>70</v>
      </c>
      <c r="G704" s="1" t="s">
        <v>148</v>
      </c>
      <c r="H704" s="1" t="s">
        <v>181</v>
      </c>
      <c r="I704" s="13" t="s">
        <v>116</v>
      </c>
      <c r="J704" s="84">
        <v>80000</v>
      </c>
      <c r="K704" s="84">
        <v>80000</v>
      </c>
      <c r="L704" s="84">
        <v>80000</v>
      </c>
      <c r="M704" s="84"/>
      <c r="N704" s="84"/>
      <c r="O704" s="84"/>
      <c r="P704" s="84">
        <f t="shared" si="434"/>
        <v>80000</v>
      </c>
      <c r="Q704" s="84">
        <f t="shared" si="435"/>
        <v>80000</v>
      </c>
      <c r="R704" s="84">
        <f t="shared" si="436"/>
        <v>80000</v>
      </c>
    </row>
    <row r="705" spans="1:18" ht="25.5">
      <c r="A705" s="78" t="s">
        <v>399</v>
      </c>
      <c r="B705" s="1" t="s">
        <v>402</v>
      </c>
      <c r="C705" s="1" t="s">
        <v>30</v>
      </c>
      <c r="D705" s="1" t="s">
        <v>13</v>
      </c>
      <c r="E705" s="1" t="s">
        <v>82</v>
      </c>
      <c r="F705" s="1" t="s">
        <v>70</v>
      </c>
      <c r="G705" s="1" t="s">
        <v>148</v>
      </c>
      <c r="H705" s="1" t="s">
        <v>182</v>
      </c>
      <c r="I705" s="13"/>
      <c r="J705" s="84">
        <f>J706</f>
        <v>138000</v>
      </c>
      <c r="K705" s="84">
        <f t="shared" ref="K705:O706" si="439">K706</f>
        <v>138000</v>
      </c>
      <c r="L705" s="84">
        <f t="shared" si="439"/>
        <v>138000</v>
      </c>
      <c r="M705" s="84">
        <f t="shared" si="439"/>
        <v>0</v>
      </c>
      <c r="N705" s="84">
        <f t="shared" si="439"/>
        <v>0</v>
      </c>
      <c r="O705" s="84">
        <f t="shared" si="439"/>
        <v>0</v>
      </c>
      <c r="P705" s="84">
        <f t="shared" si="434"/>
        <v>138000</v>
      </c>
      <c r="Q705" s="84">
        <f t="shared" si="435"/>
        <v>138000</v>
      </c>
      <c r="R705" s="84">
        <f t="shared" si="436"/>
        <v>138000</v>
      </c>
    </row>
    <row r="706" spans="1:18">
      <c r="A706" s="9" t="s">
        <v>100</v>
      </c>
      <c r="B706" s="1" t="s">
        <v>402</v>
      </c>
      <c r="C706" s="1" t="s">
        <v>30</v>
      </c>
      <c r="D706" s="1" t="s">
        <v>13</v>
      </c>
      <c r="E706" s="1" t="s">
        <v>82</v>
      </c>
      <c r="F706" s="1" t="s">
        <v>70</v>
      </c>
      <c r="G706" s="1" t="s">
        <v>148</v>
      </c>
      <c r="H706" s="1" t="s">
        <v>182</v>
      </c>
      <c r="I706" s="13" t="s">
        <v>99</v>
      </c>
      <c r="J706" s="84">
        <f>J707</f>
        <v>138000</v>
      </c>
      <c r="K706" s="84">
        <f t="shared" si="439"/>
        <v>138000</v>
      </c>
      <c r="L706" s="84">
        <f t="shared" si="439"/>
        <v>138000</v>
      </c>
      <c r="M706" s="84">
        <f t="shared" si="439"/>
        <v>0</v>
      </c>
      <c r="N706" s="84">
        <f t="shared" si="439"/>
        <v>0</v>
      </c>
      <c r="O706" s="84">
        <f t="shared" si="439"/>
        <v>0</v>
      </c>
      <c r="P706" s="84">
        <f t="shared" si="434"/>
        <v>138000</v>
      </c>
      <c r="Q706" s="84">
        <f t="shared" si="435"/>
        <v>138000</v>
      </c>
      <c r="R706" s="84">
        <f t="shared" si="436"/>
        <v>138000</v>
      </c>
    </row>
    <row r="707" spans="1:18">
      <c r="A707" s="78" t="s">
        <v>117</v>
      </c>
      <c r="B707" s="1" t="s">
        <v>402</v>
      </c>
      <c r="C707" s="1" t="s">
        <v>30</v>
      </c>
      <c r="D707" s="1" t="s">
        <v>13</v>
      </c>
      <c r="E707" s="1" t="s">
        <v>82</v>
      </c>
      <c r="F707" s="1" t="s">
        <v>70</v>
      </c>
      <c r="G707" s="1" t="s">
        <v>148</v>
      </c>
      <c r="H707" s="1" t="s">
        <v>182</v>
      </c>
      <c r="I707" s="13" t="s">
        <v>116</v>
      </c>
      <c r="J707" s="84">
        <v>138000</v>
      </c>
      <c r="K707" s="84">
        <v>138000</v>
      </c>
      <c r="L707" s="84">
        <v>138000</v>
      </c>
      <c r="M707" s="84"/>
      <c r="N707" s="84"/>
      <c r="O707" s="84"/>
      <c r="P707" s="84">
        <f t="shared" si="434"/>
        <v>138000</v>
      </c>
      <c r="Q707" s="84">
        <f t="shared" si="435"/>
        <v>138000</v>
      </c>
      <c r="R707" s="84">
        <f t="shared" si="436"/>
        <v>138000</v>
      </c>
    </row>
    <row r="708" spans="1:18" ht="25.5">
      <c r="A708" s="78" t="s">
        <v>400</v>
      </c>
      <c r="B708" s="1" t="s">
        <v>402</v>
      </c>
      <c r="C708" s="1" t="s">
        <v>30</v>
      </c>
      <c r="D708" s="1" t="s">
        <v>13</v>
      </c>
      <c r="E708" s="1" t="s">
        <v>82</v>
      </c>
      <c r="F708" s="1" t="s">
        <v>70</v>
      </c>
      <c r="G708" s="1" t="s">
        <v>148</v>
      </c>
      <c r="H708" s="1" t="s">
        <v>183</v>
      </c>
      <c r="I708" s="13"/>
      <c r="J708" s="84">
        <f>J709</f>
        <v>50000</v>
      </c>
      <c r="K708" s="84">
        <f t="shared" ref="K708:O708" si="440">K709</f>
        <v>50000</v>
      </c>
      <c r="L708" s="84">
        <f t="shared" si="440"/>
        <v>50000</v>
      </c>
      <c r="M708" s="84">
        <f t="shared" si="440"/>
        <v>0</v>
      </c>
      <c r="N708" s="84">
        <f t="shared" si="440"/>
        <v>0</v>
      </c>
      <c r="O708" s="84">
        <f t="shared" si="440"/>
        <v>0</v>
      </c>
      <c r="P708" s="84">
        <f t="shared" si="434"/>
        <v>50000</v>
      </c>
      <c r="Q708" s="84">
        <f t="shared" si="435"/>
        <v>50000</v>
      </c>
      <c r="R708" s="84">
        <f t="shared" si="436"/>
        <v>50000</v>
      </c>
    </row>
    <row r="709" spans="1:18" ht="25.5">
      <c r="A709" s="80" t="s">
        <v>260</v>
      </c>
      <c r="B709" s="1" t="s">
        <v>402</v>
      </c>
      <c r="C709" s="1" t="s">
        <v>30</v>
      </c>
      <c r="D709" s="1" t="s">
        <v>13</v>
      </c>
      <c r="E709" s="1" t="s">
        <v>82</v>
      </c>
      <c r="F709" s="1" t="s">
        <v>70</v>
      </c>
      <c r="G709" s="1" t="s">
        <v>148</v>
      </c>
      <c r="H709" s="1" t="s">
        <v>183</v>
      </c>
      <c r="I709" s="13" t="s">
        <v>94</v>
      </c>
      <c r="J709" s="84">
        <f>J710</f>
        <v>50000</v>
      </c>
      <c r="K709" s="84">
        <f t="shared" ref="K709:O709" si="441">K710</f>
        <v>50000</v>
      </c>
      <c r="L709" s="84">
        <f t="shared" si="441"/>
        <v>50000</v>
      </c>
      <c r="M709" s="84">
        <f t="shared" si="441"/>
        <v>0</v>
      </c>
      <c r="N709" s="84">
        <f t="shared" si="441"/>
        <v>0</v>
      </c>
      <c r="O709" s="84">
        <f t="shared" si="441"/>
        <v>0</v>
      </c>
      <c r="P709" s="84">
        <f t="shared" si="434"/>
        <v>50000</v>
      </c>
      <c r="Q709" s="84">
        <f t="shared" si="435"/>
        <v>50000</v>
      </c>
      <c r="R709" s="84">
        <f t="shared" si="436"/>
        <v>50000</v>
      </c>
    </row>
    <row r="710" spans="1:18" ht="25.5">
      <c r="A710" s="78" t="s">
        <v>98</v>
      </c>
      <c r="B710" s="1" t="s">
        <v>402</v>
      </c>
      <c r="C710" s="1" t="s">
        <v>30</v>
      </c>
      <c r="D710" s="1" t="s">
        <v>13</v>
      </c>
      <c r="E710" s="1" t="s">
        <v>82</v>
      </c>
      <c r="F710" s="1" t="s">
        <v>70</v>
      </c>
      <c r="G710" s="1" t="s">
        <v>148</v>
      </c>
      <c r="H710" s="1" t="s">
        <v>183</v>
      </c>
      <c r="I710" s="13" t="s">
        <v>95</v>
      </c>
      <c r="J710" s="84">
        <v>50000</v>
      </c>
      <c r="K710" s="84">
        <v>50000</v>
      </c>
      <c r="L710" s="84">
        <v>50000</v>
      </c>
      <c r="M710" s="84"/>
      <c r="N710" s="84"/>
      <c r="O710" s="84"/>
      <c r="P710" s="84">
        <f t="shared" si="434"/>
        <v>50000</v>
      </c>
      <c r="Q710" s="84">
        <f t="shared" si="435"/>
        <v>50000</v>
      </c>
      <c r="R710" s="84">
        <f t="shared" si="436"/>
        <v>50000</v>
      </c>
    </row>
    <row r="711" spans="1:18">
      <c r="A711" s="83" t="s">
        <v>240</v>
      </c>
      <c r="B711" s="1" t="s">
        <v>402</v>
      </c>
      <c r="C711" s="1" t="s">
        <v>30</v>
      </c>
      <c r="D711" s="1" t="s">
        <v>13</v>
      </c>
      <c r="E711" s="1" t="s">
        <v>82</v>
      </c>
      <c r="F711" s="1" t="s">
        <v>70</v>
      </c>
      <c r="G711" s="1" t="s">
        <v>148</v>
      </c>
      <c r="H711" s="3" t="s">
        <v>241</v>
      </c>
      <c r="I711" s="16"/>
      <c r="J711" s="84">
        <f>J712</f>
        <v>0</v>
      </c>
      <c r="K711" s="84">
        <f t="shared" ref="K711:K712" si="442">K712</f>
        <v>0</v>
      </c>
      <c r="L711" s="84">
        <f t="shared" ref="L711:L712" si="443">L712</f>
        <v>0</v>
      </c>
      <c r="M711" s="84">
        <f t="shared" ref="M711:M712" si="444">M712</f>
        <v>78350</v>
      </c>
      <c r="N711" s="84">
        <f t="shared" ref="N711:N712" si="445">N712</f>
        <v>0</v>
      </c>
      <c r="O711" s="84">
        <f t="shared" ref="O711:O712" si="446">O712</f>
        <v>0</v>
      </c>
      <c r="P711" s="84">
        <f t="shared" si="434"/>
        <v>78350</v>
      </c>
      <c r="Q711" s="84">
        <f t="shared" si="435"/>
        <v>0</v>
      </c>
      <c r="R711" s="84">
        <f t="shared" si="436"/>
        <v>0</v>
      </c>
    </row>
    <row r="712" spans="1:18">
      <c r="A712" s="9" t="s">
        <v>100</v>
      </c>
      <c r="B712" s="1" t="s">
        <v>402</v>
      </c>
      <c r="C712" s="1" t="s">
        <v>30</v>
      </c>
      <c r="D712" s="1" t="s">
        <v>13</v>
      </c>
      <c r="E712" s="1" t="s">
        <v>82</v>
      </c>
      <c r="F712" s="1" t="s">
        <v>70</v>
      </c>
      <c r="G712" s="1" t="s">
        <v>148</v>
      </c>
      <c r="H712" s="3" t="s">
        <v>241</v>
      </c>
      <c r="I712" s="16" t="s">
        <v>99</v>
      </c>
      <c r="J712" s="84">
        <f>J713</f>
        <v>0</v>
      </c>
      <c r="K712" s="84">
        <f t="shared" si="442"/>
        <v>0</v>
      </c>
      <c r="L712" s="84">
        <f t="shared" si="443"/>
        <v>0</v>
      </c>
      <c r="M712" s="84">
        <f t="shared" si="444"/>
        <v>78350</v>
      </c>
      <c r="N712" s="84">
        <f t="shared" si="445"/>
        <v>0</v>
      </c>
      <c r="O712" s="84">
        <f t="shared" si="446"/>
        <v>0</v>
      </c>
      <c r="P712" s="84">
        <f t="shared" si="434"/>
        <v>78350</v>
      </c>
      <c r="Q712" s="84">
        <f t="shared" si="435"/>
        <v>0</v>
      </c>
      <c r="R712" s="84">
        <f t="shared" si="436"/>
        <v>0</v>
      </c>
    </row>
    <row r="713" spans="1:18">
      <c r="A713" s="78" t="s">
        <v>117</v>
      </c>
      <c r="B713" s="1" t="s">
        <v>402</v>
      </c>
      <c r="C713" s="1" t="s">
        <v>30</v>
      </c>
      <c r="D713" s="1" t="s">
        <v>13</v>
      </c>
      <c r="E713" s="1" t="s">
        <v>82</v>
      </c>
      <c r="F713" s="1" t="s">
        <v>70</v>
      </c>
      <c r="G713" s="1" t="s">
        <v>148</v>
      </c>
      <c r="H713" s="3" t="s">
        <v>241</v>
      </c>
      <c r="I713" s="16" t="s">
        <v>116</v>
      </c>
      <c r="J713" s="84"/>
      <c r="K713" s="84"/>
      <c r="L713" s="84"/>
      <c r="M713" s="84">
        <v>78350</v>
      </c>
      <c r="N713" s="84"/>
      <c r="O713" s="84"/>
      <c r="P713" s="84">
        <f t="shared" si="434"/>
        <v>78350</v>
      </c>
      <c r="Q713" s="84">
        <f t="shared" si="435"/>
        <v>0</v>
      </c>
      <c r="R713" s="84">
        <f t="shared" si="436"/>
        <v>0</v>
      </c>
    </row>
    <row r="714" spans="1:18">
      <c r="A714" s="2"/>
      <c r="B714" s="1"/>
      <c r="C714" s="1"/>
      <c r="D714" s="1"/>
      <c r="E714" s="1"/>
      <c r="F714" s="1"/>
      <c r="G714" s="1"/>
      <c r="H714" s="1"/>
      <c r="I714" s="13"/>
      <c r="J714" s="84"/>
      <c r="K714" s="84"/>
      <c r="L714" s="84"/>
      <c r="M714" s="84"/>
      <c r="N714" s="84"/>
      <c r="O714" s="84"/>
      <c r="P714" s="84"/>
      <c r="Q714" s="84"/>
      <c r="R714" s="84"/>
    </row>
    <row r="715" spans="1:18">
      <c r="A715" s="19" t="s">
        <v>21</v>
      </c>
      <c r="B715" s="14" t="s">
        <v>402</v>
      </c>
      <c r="C715" s="14" t="s">
        <v>30</v>
      </c>
      <c r="D715" s="14" t="s">
        <v>16</v>
      </c>
      <c r="E715" s="14"/>
      <c r="F715" s="14"/>
      <c r="G715" s="14"/>
      <c r="H715" s="1"/>
      <c r="I715" s="13"/>
      <c r="J715" s="112">
        <f>J716</f>
        <v>50000</v>
      </c>
      <c r="K715" s="112">
        <f t="shared" ref="K715:O715" si="447">K716</f>
        <v>50000</v>
      </c>
      <c r="L715" s="112">
        <f t="shared" si="447"/>
        <v>50000</v>
      </c>
      <c r="M715" s="112">
        <f t="shared" si="447"/>
        <v>0</v>
      </c>
      <c r="N715" s="112">
        <f t="shared" si="447"/>
        <v>0</v>
      </c>
      <c r="O715" s="112">
        <f t="shared" si="447"/>
        <v>0</v>
      </c>
      <c r="P715" s="112">
        <f t="shared" si="434"/>
        <v>50000</v>
      </c>
      <c r="Q715" s="112">
        <f t="shared" si="435"/>
        <v>50000</v>
      </c>
      <c r="R715" s="112">
        <f t="shared" si="436"/>
        <v>50000</v>
      </c>
    </row>
    <row r="716" spans="1:18" ht="38.25">
      <c r="A716" s="79" t="s">
        <v>293</v>
      </c>
      <c r="B716" s="1" t="s">
        <v>402</v>
      </c>
      <c r="C716" s="1" t="s">
        <v>30</v>
      </c>
      <c r="D716" s="1" t="s">
        <v>16</v>
      </c>
      <c r="E716" s="1" t="s">
        <v>31</v>
      </c>
      <c r="F716" s="1" t="s">
        <v>70</v>
      </c>
      <c r="G716" s="1" t="s">
        <v>148</v>
      </c>
      <c r="H716" s="1" t="s">
        <v>149</v>
      </c>
      <c r="I716" s="29"/>
      <c r="J716" s="113">
        <f>SUM(J717)</f>
        <v>50000</v>
      </c>
      <c r="K716" s="113">
        <f t="shared" ref="K716:O717" si="448">SUM(K717)</f>
        <v>50000</v>
      </c>
      <c r="L716" s="113">
        <f t="shared" si="448"/>
        <v>50000</v>
      </c>
      <c r="M716" s="113">
        <f t="shared" si="448"/>
        <v>0</v>
      </c>
      <c r="N716" s="113">
        <f t="shared" si="448"/>
        <v>0</v>
      </c>
      <c r="O716" s="113">
        <f t="shared" si="448"/>
        <v>0</v>
      </c>
      <c r="P716" s="113">
        <f t="shared" si="434"/>
        <v>50000</v>
      </c>
      <c r="Q716" s="113">
        <f t="shared" si="435"/>
        <v>50000</v>
      </c>
      <c r="R716" s="113">
        <f t="shared" si="436"/>
        <v>50000</v>
      </c>
    </row>
    <row r="717" spans="1:18" ht="25.5">
      <c r="A717" s="2" t="s">
        <v>123</v>
      </c>
      <c r="B717" s="1" t="s">
        <v>402</v>
      </c>
      <c r="C717" s="1" t="s">
        <v>30</v>
      </c>
      <c r="D717" s="1" t="s">
        <v>16</v>
      </c>
      <c r="E717" s="1" t="s">
        <v>31</v>
      </c>
      <c r="F717" s="1" t="s">
        <v>70</v>
      </c>
      <c r="G717" s="1" t="s">
        <v>148</v>
      </c>
      <c r="H717" s="1" t="s">
        <v>184</v>
      </c>
      <c r="I717" s="29"/>
      <c r="J717" s="113">
        <f>SUM(J718)</f>
        <v>50000</v>
      </c>
      <c r="K717" s="113">
        <f t="shared" si="448"/>
        <v>50000</v>
      </c>
      <c r="L717" s="113">
        <f t="shared" si="448"/>
        <v>50000</v>
      </c>
      <c r="M717" s="113">
        <f t="shared" si="448"/>
        <v>0</v>
      </c>
      <c r="N717" s="113">
        <f t="shared" si="448"/>
        <v>0</v>
      </c>
      <c r="O717" s="113">
        <f t="shared" si="448"/>
        <v>0</v>
      </c>
      <c r="P717" s="113">
        <f t="shared" si="434"/>
        <v>50000</v>
      </c>
      <c r="Q717" s="113">
        <f t="shared" si="435"/>
        <v>50000</v>
      </c>
      <c r="R717" s="113">
        <f t="shared" si="436"/>
        <v>50000</v>
      </c>
    </row>
    <row r="718" spans="1:18" ht="25.5">
      <c r="A718" s="80" t="s">
        <v>260</v>
      </c>
      <c r="B718" s="10" t="s">
        <v>402</v>
      </c>
      <c r="C718" s="1" t="s">
        <v>30</v>
      </c>
      <c r="D718" s="1" t="s">
        <v>16</v>
      </c>
      <c r="E718" s="1" t="s">
        <v>31</v>
      </c>
      <c r="F718" s="1" t="s">
        <v>70</v>
      </c>
      <c r="G718" s="1" t="s">
        <v>148</v>
      </c>
      <c r="H718" s="1" t="s">
        <v>184</v>
      </c>
      <c r="I718" s="17" t="s">
        <v>94</v>
      </c>
      <c r="J718" s="113">
        <f>J719</f>
        <v>50000</v>
      </c>
      <c r="K718" s="113">
        <f t="shared" ref="K718:O718" si="449">K719</f>
        <v>50000</v>
      </c>
      <c r="L718" s="113">
        <f t="shared" si="449"/>
        <v>50000</v>
      </c>
      <c r="M718" s="113">
        <f t="shared" si="449"/>
        <v>0</v>
      </c>
      <c r="N718" s="113">
        <f t="shared" si="449"/>
        <v>0</v>
      </c>
      <c r="O718" s="113">
        <f t="shared" si="449"/>
        <v>0</v>
      </c>
      <c r="P718" s="113">
        <f t="shared" si="434"/>
        <v>50000</v>
      </c>
      <c r="Q718" s="113">
        <f t="shared" si="435"/>
        <v>50000</v>
      </c>
      <c r="R718" s="113">
        <f t="shared" si="436"/>
        <v>50000</v>
      </c>
    </row>
    <row r="719" spans="1:18" ht="25.5">
      <c r="A719" s="78" t="s">
        <v>98</v>
      </c>
      <c r="B719" s="10" t="s">
        <v>402</v>
      </c>
      <c r="C719" s="1" t="s">
        <v>30</v>
      </c>
      <c r="D719" s="1" t="s">
        <v>16</v>
      </c>
      <c r="E719" s="1" t="s">
        <v>31</v>
      </c>
      <c r="F719" s="1" t="s">
        <v>70</v>
      </c>
      <c r="G719" s="1" t="s">
        <v>148</v>
      </c>
      <c r="H719" s="1" t="s">
        <v>184</v>
      </c>
      <c r="I719" s="17" t="s">
        <v>95</v>
      </c>
      <c r="J719" s="113">
        <v>50000</v>
      </c>
      <c r="K719" s="113">
        <v>50000</v>
      </c>
      <c r="L719" s="113">
        <v>50000</v>
      </c>
      <c r="M719" s="113"/>
      <c r="N719" s="113"/>
      <c r="O719" s="113"/>
      <c r="P719" s="113">
        <f t="shared" si="434"/>
        <v>50000</v>
      </c>
      <c r="Q719" s="113">
        <f t="shared" si="435"/>
        <v>50000</v>
      </c>
      <c r="R719" s="113">
        <f t="shared" si="436"/>
        <v>50000</v>
      </c>
    </row>
    <row r="720" spans="1:18" ht="15.75" customHeight="1">
      <c r="A720" s="11"/>
      <c r="B720" s="10"/>
      <c r="C720" s="10"/>
      <c r="D720" s="10"/>
      <c r="E720" s="66"/>
      <c r="F720" s="10"/>
      <c r="G720" s="10"/>
      <c r="H720" s="1"/>
      <c r="I720" s="17"/>
      <c r="J720" s="113"/>
      <c r="K720" s="113"/>
      <c r="L720" s="113"/>
      <c r="M720" s="113"/>
      <c r="N720" s="113"/>
      <c r="O720" s="113"/>
      <c r="P720" s="113"/>
      <c r="Q720" s="113"/>
      <c r="R720" s="113"/>
    </row>
    <row r="721" spans="1:18" ht="15" customHeight="1">
      <c r="A721" s="25" t="s">
        <v>112</v>
      </c>
      <c r="B721" s="30" t="s">
        <v>402</v>
      </c>
      <c r="C721" s="30" t="s">
        <v>49</v>
      </c>
      <c r="D721" s="30"/>
      <c r="E721" s="30"/>
      <c r="F721" s="30"/>
      <c r="G721" s="30"/>
      <c r="H721" s="30"/>
      <c r="I721" s="33"/>
      <c r="J721" s="111">
        <f t="shared" ref="J721:O721" si="450">+J722</f>
        <v>10000</v>
      </c>
      <c r="K721" s="111">
        <f t="shared" si="450"/>
        <v>10000</v>
      </c>
      <c r="L721" s="111">
        <f t="shared" si="450"/>
        <v>9600</v>
      </c>
      <c r="M721" s="111">
        <f t="shared" si="450"/>
        <v>0</v>
      </c>
      <c r="N721" s="111">
        <f t="shared" si="450"/>
        <v>0</v>
      </c>
      <c r="O721" s="111">
        <f t="shared" si="450"/>
        <v>0</v>
      </c>
      <c r="P721" s="111">
        <f t="shared" si="434"/>
        <v>10000</v>
      </c>
      <c r="Q721" s="111">
        <f t="shared" si="435"/>
        <v>10000</v>
      </c>
      <c r="R721" s="111">
        <f t="shared" si="436"/>
        <v>9600</v>
      </c>
    </row>
    <row r="722" spans="1:18">
      <c r="A722" s="19" t="s">
        <v>261</v>
      </c>
      <c r="B722" s="15" t="s">
        <v>402</v>
      </c>
      <c r="C722" s="15" t="s">
        <v>49</v>
      </c>
      <c r="D722" s="15" t="s">
        <v>20</v>
      </c>
      <c r="E722" s="15"/>
      <c r="F722" s="15"/>
      <c r="G722" s="15"/>
      <c r="H722" s="15"/>
      <c r="I722" s="27"/>
      <c r="J722" s="112">
        <f t="shared" ref="J722:O726" si="451">J723</f>
        <v>10000</v>
      </c>
      <c r="K722" s="112">
        <f t="shared" si="451"/>
        <v>10000</v>
      </c>
      <c r="L722" s="112">
        <f t="shared" si="451"/>
        <v>9600</v>
      </c>
      <c r="M722" s="112">
        <f t="shared" si="451"/>
        <v>0</v>
      </c>
      <c r="N722" s="112">
        <f t="shared" si="451"/>
        <v>0</v>
      </c>
      <c r="O722" s="112">
        <f t="shared" si="451"/>
        <v>0</v>
      </c>
      <c r="P722" s="112">
        <f t="shared" si="434"/>
        <v>10000</v>
      </c>
      <c r="Q722" s="112">
        <f t="shared" si="435"/>
        <v>10000</v>
      </c>
      <c r="R722" s="112">
        <f t="shared" si="436"/>
        <v>9600</v>
      </c>
    </row>
    <row r="723" spans="1:18" ht="38.25">
      <c r="A723" s="35" t="s">
        <v>294</v>
      </c>
      <c r="B723" s="10" t="s">
        <v>402</v>
      </c>
      <c r="C723" s="36" t="s">
        <v>49</v>
      </c>
      <c r="D723" s="36" t="s">
        <v>20</v>
      </c>
      <c r="E723" s="36" t="s">
        <v>19</v>
      </c>
      <c r="F723" s="36" t="s">
        <v>70</v>
      </c>
      <c r="G723" s="36" t="s">
        <v>148</v>
      </c>
      <c r="H723" s="36" t="s">
        <v>149</v>
      </c>
      <c r="I723" s="37"/>
      <c r="J723" s="84">
        <f t="shared" si="451"/>
        <v>10000</v>
      </c>
      <c r="K723" s="84">
        <f t="shared" si="451"/>
        <v>10000</v>
      </c>
      <c r="L723" s="84">
        <f t="shared" si="451"/>
        <v>9600</v>
      </c>
      <c r="M723" s="84">
        <f t="shared" si="451"/>
        <v>0</v>
      </c>
      <c r="N723" s="84">
        <f t="shared" si="451"/>
        <v>0</v>
      </c>
      <c r="O723" s="84">
        <f t="shared" si="451"/>
        <v>0</v>
      </c>
      <c r="P723" s="84">
        <f t="shared" si="434"/>
        <v>10000</v>
      </c>
      <c r="Q723" s="84">
        <f t="shared" si="435"/>
        <v>10000</v>
      </c>
      <c r="R723" s="84">
        <f t="shared" si="436"/>
        <v>9600</v>
      </c>
    </row>
    <row r="724" spans="1:18" ht="25.5">
      <c r="A724" s="35" t="s">
        <v>295</v>
      </c>
      <c r="B724" s="10" t="s">
        <v>402</v>
      </c>
      <c r="C724" s="36" t="s">
        <v>49</v>
      </c>
      <c r="D724" s="36" t="s">
        <v>20</v>
      </c>
      <c r="E724" s="36" t="s">
        <v>19</v>
      </c>
      <c r="F724" s="36" t="s">
        <v>134</v>
      </c>
      <c r="G724" s="36" t="s">
        <v>148</v>
      </c>
      <c r="H724" s="36" t="s">
        <v>149</v>
      </c>
      <c r="I724" s="37"/>
      <c r="J724" s="84">
        <f t="shared" si="451"/>
        <v>10000</v>
      </c>
      <c r="K724" s="84">
        <f t="shared" si="451"/>
        <v>10000</v>
      </c>
      <c r="L724" s="84">
        <f t="shared" si="451"/>
        <v>9600</v>
      </c>
      <c r="M724" s="84">
        <f t="shared" si="451"/>
        <v>0</v>
      </c>
      <c r="N724" s="84">
        <f t="shared" si="451"/>
        <v>0</v>
      </c>
      <c r="O724" s="84">
        <f t="shared" si="451"/>
        <v>0</v>
      </c>
      <c r="P724" s="84">
        <f t="shared" si="434"/>
        <v>10000</v>
      </c>
      <c r="Q724" s="84">
        <f t="shared" si="435"/>
        <v>10000</v>
      </c>
      <c r="R724" s="84">
        <f t="shared" si="436"/>
        <v>9600</v>
      </c>
    </row>
    <row r="725" spans="1:18">
      <c r="A725" s="2" t="s">
        <v>109</v>
      </c>
      <c r="B725" s="10" t="s">
        <v>402</v>
      </c>
      <c r="C725" s="36" t="s">
        <v>49</v>
      </c>
      <c r="D725" s="36" t="s">
        <v>20</v>
      </c>
      <c r="E725" s="36" t="s">
        <v>19</v>
      </c>
      <c r="F725" s="36" t="s">
        <v>134</v>
      </c>
      <c r="G725" s="36" t="s">
        <v>148</v>
      </c>
      <c r="H725" s="36" t="s">
        <v>187</v>
      </c>
      <c r="I725" s="37"/>
      <c r="J725" s="84">
        <f t="shared" si="451"/>
        <v>10000</v>
      </c>
      <c r="K725" s="84">
        <f t="shared" si="451"/>
        <v>10000</v>
      </c>
      <c r="L725" s="84">
        <f t="shared" si="451"/>
        <v>9600</v>
      </c>
      <c r="M725" s="84">
        <f t="shared" si="451"/>
        <v>0</v>
      </c>
      <c r="N725" s="84">
        <f t="shared" si="451"/>
        <v>0</v>
      </c>
      <c r="O725" s="84">
        <f t="shared" si="451"/>
        <v>0</v>
      </c>
      <c r="P725" s="84">
        <f t="shared" si="434"/>
        <v>10000</v>
      </c>
      <c r="Q725" s="84">
        <f t="shared" si="435"/>
        <v>10000</v>
      </c>
      <c r="R725" s="84">
        <f t="shared" si="436"/>
        <v>9600</v>
      </c>
    </row>
    <row r="726" spans="1:18">
      <c r="A726" s="2" t="s">
        <v>112</v>
      </c>
      <c r="B726" s="10" t="s">
        <v>402</v>
      </c>
      <c r="C726" s="36" t="s">
        <v>49</v>
      </c>
      <c r="D726" s="36" t="s">
        <v>20</v>
      </c>
      <c r="E726" s="36" t="s">
        <v>19</v>
      </c>
      <c r="F726" s="36" t="s">
        <v>134</v>
      </c>
      <c r="G726" s="36" t="s">
        <v>148</v>
      </c>
      <c r="H726" s="36" t="s">
        <v>187</v>
      </c>
      <c r="I726" s="37" t="s">
        <v>110</v>
      </c>
      <c r="J726" s="84">
        <f t="shared" si="451"/>
        <v>10000</v>
      </c>
      <c r="K726" s="84">
        <f t="shared" si="451"/>
        <v>10000</v>
      </c>
      <c r="L726" s="84">
        <f t="shared" si="451"/>
        <v>9600</v>
      </c>
      <c r="M726" s="84">
        <f t="shared" si="451"/>
        <v>0</v>
      </c>
      <c r="N726" s="84">
        <f t="shared" si="451"/>
        <v>0</v>
      </c>
      <c r="O726" s="84">
        <f t="shared" si="451"/>
        <v>0</v>
      </c>
      <c r="P726" s="84">
        <f t="shared" si="434"/>
        <v>10000</v>
      </c>
      <c r="Q726" s="84">
        <f t="shared" si="435"/>
        <v>10000</v>
      </c>
      <c r="R726" s="84">
        <f t="shared" si="436"/>
        <v>9600</v>
      </c>
    </row>
    <row r="727" spans="1:18">
      <c r="A727" s="2" t="s">
        <v>109</v>
      </c>
      <c r="B727" s="10" t="s">
        <v>402</v>
      </c>
      <c r="C727" s="36" t="s">
        <v>49</v>
      </c>
      <c r="D727" s="36" t="s">
        <v>20</v>
      </c>
      <c r="E727" s="36" t="s">
        <v>19</v>
      </c>
      <c r="F727" s="36" t="s">
        <v>134</v>
      </c>
      <c r="G727" s="36" t="s">
        <v>148</v>
      </c>
      <c r="H727" s="1" t="s">
        <v>187</v>
      </c>
      <c r="I727" s="37" t="s">
        <v>111</v>
      </c>
      <c r="J727" s="84">
        <v>10000</v>
      </c>
      <c r="K727" s="84">
        <v>10000</v>
      </c>
      <c r="L727" s="84">
        <v>9600</v>
      </c>
      <c r="M727" s="84"/>
      <c r="N727" s="84"/>
      <c r="O727" s="84"/>
      <c r="P727" s="84">
        <f t="shared" si="434"/>
        <v>10000</v>
      </c>
      <c r="Q727" s="84">
        <f t="shared" si="435"/>
        <v>10000</v>
      </c>
      <c r="R727" s="84">
        <f t="shared" si="436"/>
        <v>9600</v>
      </c>
    </row>
    <row r="728" spans="1:18">
      <c r="A728" s="92"/>
      <c r="B728" s="189"/>
      <c r="C728" s="36"/>
      <c r="D728" s="36"/>
      <c r="E728" s="36"/>
      <c r="F728" s="36"/>
      <c r="G728" s="36"/>
      <c r="H728" s="37"/>
      <c r="I728" s="191"/>
      <c r="J728" s="84"/>
      <c r="K728" s="84"/>
      <c r="L728" s="84"/>
      <c r="M728" s="84"/>
      <c r="N728" s="84"/>
      <c r="O728" s="84"/>
      <c r="P728" s="84"/>
      <c r="Q728" s="84"/>
      <c r="R728" s="84"/>
    </row>
    <row r="729" spans="1:18" ht="25.5">
      <c r="A729" s="190" t="s">
        <v>410</v>
      </c>
      <c r="B729" s="47" t="s">
        <v>404</v>
      </c>
      <c r="C729" s="93"/>
      <c r="D729" s="93"/>
      <c r="E729" s="108"/>
      <c r="F729" s="93"/>
      <c r="G729" s="93"/>
      <c r="H729" s="93"/>
      <c r="I729" s="43"/>
      <c r="J729" s="118">
        <f>J730</f>
        <v>2935867</v>
      </c>
      <c r="K729" s="118">
        <f t="shared" ref="K729:O731" si="452">K730</f>
        <v>2962777.96</v>
      </c>
      <c r="L729" s="118">
        <f t="shared" si="452"/>
        <v>2989958.74</v>
      </c>
      <c r="M729" s="118">
        <f t="shared" si="452"/>
        <v>0</v>
      </c>
      <c r="N729" s="118">
        <f t="shared" si="452"/>
        <v>0</v>
      </c>
      <c r="O729" s="118">
        <f t="shared" si="452"/>
        <v>0</v>
      </c>
      <c r="P729" s="118">
        <f t="shared" si="434"/>
        <v>2935867</v>
      </c>
      <c r="Q729" s="118">
        <f t="shared" si="435"/>
        <v>2962777.96</v>
      </c>
      <c r="R729" s="118">
        <f t="shared" si="436"/>
        <v>2989958.74</v>
      </c>
    </row>
    <row r="730" spans="1:18" ht="15.75">
      <c r="A730" s="25" t="s">
        <v>32</v>
      </c>
      <c r="B730" s="26" t="s">
        <v>404</v>
      </c>
      <c r="C730" s="26" t="s">
        <v>20</v>
      </c>
      <c r="D730" s="1"/>
      <c r="E730" s="1"/>
      <c r="F730" s="1"/>
      <c r="G730" s="1"/>
      <c r="H730" s="1"/>
      <c r="I730" s="1"/>
      <c r="J730" s="111">
        <f>J731</f>
        <v>2935867</v>
      </c>
      <c r="K730" s="111">
        <f t="shared" si="452"/>
        <v>2962777.96</v>
      </c>
      <c r="L730" s="111">
        <f t="shared" si="452"/>
        <v>2989958.74</v>
      </c>
      <c r="M730" s="111">
        <f t="shared" si="452"/>
        <v>0</v>
      </c>
      <c r="N730" s="111">
        <f t="shared" si="452"/>
        <v>0</v>
      </c>
      <c r="O730" s="111">
        <f t="shared" si="452"/>
        <v>0</v>
      </c>
      <c r="P730" s="111">
        <f t="shared" si="434"/>
        <v>2935867</v>
      </c>
      <c r="Q730" s="111">
        <f t="shared" si="435"/>
        <v>2962777.96</v>
      </c>
      <c r="R730" s="111">
        <f t="shared" si="436"/>
        <v>2989958.74</v>
      </c>
    </row>
    <row r="731" spans="1:18" ht="38.25">
      <c r="A731" s="4" t="s">
        <v>33</v>
      </c>
      <c r="B731" s="14" t="s">
        <v>404</v>
      </c>
      <c r="C731" s="14" t="s">
        <v>20</v>
      </c>
      <c r="D731" s="14" t="s">
        <v>13</v>
      </c>
      <c r="E731" s="14"/>
      <c r="F731" s="14"/>
      <c r="G731" s="14"/>
      <c r="H731" s="1"/>
      <c r="I731" s="1"/>
      <c r="J731" s="112">
        <f>J732</f>
        <v>2935867</v>
      </c>
      <c r="K731" s="112">
        <f t="shared" si="452"/>
        <v>2962777.96</v>
      </c>
      <c r="L731" s="112">
        <f t="shared" si="452"/>
        <v>2989958.74</v>
      </c>
      <c r="M731" s="112">
        <f t="shared" si="452"/>
        <v>0</v>
      </c>
      <c r="N731" s="112">
        <f t="shared" si="452"/>
        <v>0</v>
      </c>
      <c r="O731" s="112">
        <f t="shared" si="452"/>
        <v>0</v>
      </c>
      <c r="P731" s="112">
        <f t="shared" si="434"/>
        <v>2935867</v>
      </c>
      <c r="Q731" s="112">
        <f t="shared" si="435"/>
        <v>2962777.96</v>
      </c>
      <c r="R731" s="112">
        <f t="shared" si="436"/>
        <v>2989958.74</v>
      </c>
    </row>
    <row r="732" spans="1:18">
      <c r="A732" s="7" t="s">
        <v>83</v>
      </c>
      <c r="B732" s="1" t="s">
        <v>404</v>
      </c>
      <c r="C732" s="1" t="s">
        <v>20</v>
      </c>
      <c r="D732" s="1" t="s">
        <v>13</v>
      </c>
      <c r="E732" s="1" t="s">
        <v>82</v>
      </c>
      <c r="F732" s="1" t="s">
        <v>70</v>
      </c>
      <c r="G732" s="1" t="s">
        <v>148</v>
      </c>
      <c r="H732" s="1" t="s">
        <v>149</v>
      </c>
      <c r="I732" s="1"/>
      <c r="J732" s="84">
        <f>J733+J736</f>
        <v>2935867</v>
      </c>
      <c r="K732" s="84">
        <f t="shared" ref="K732:L732" si="453">K733+K736</f>
        <v>2962777.96</v>
      </c>
      <c r="L732" s="84">
        <f t="shared" si="453"/>
        <v>2989958.74</v>
      </c>
      <c r="M732" s="84">
        <f t="shared" ref="M732:O732" si="454">M733+M736</f>
        <v>0</v>
      </c>
      <c r="N732" s="84">
        <f t="shared" si="454"/>
        <v>0</v>
      </c>
      <c r="O732" s="84">
        <f t="shared" si="454"/>
        <v>0</v>
      </c>
      <c r="P732" s="84">
        <f t="shared" si="434"/>
        <v>2935867</v>
      </c>
      <c r="Q732" s="84">
        <f t="shared" si="435"/>
        <v>2962777.96</v>
      </c>
      <c r="R732" s="84">
        <f t="shared" si="436"/>
        <v>2989958.74</v>
      </c>
    </row>
    <row r="733" spans="1:18">
      <c r="A733" s="5" t="s">
        <v>328</v>
      </c>
      <c r="B733" s="1" t="s">
        <v>404</v>
      </c>
      <c r="C733" s="1" t="s">
        <v>20</v>
      </c>
      <c r="D733" s="1" t="s">
        <v>13</v>
      </c>
      <c r="E733" s="1" t="s">
        <v>82</v>
      </c>
      <c r="F733" s="1" t="s">
        <v>70</v>
      </c>
      <c r="G733" s="1" t="s">
        <v>148</v>
      </c>
      <c r="H733" s="1" t="s">
        <v>170</v>
      </c>
      <c r="I733" s="1"/>
      <c r="J733" s="84">
        <f>J734</f>
        <v>2691167</v>
      </c>
      <c r="K733" s="84">
        <f t="shared" ref="K733:O734" si="455">K734</f>
        <v>2718077.96</v>
      </c>
      <c r="L733" s="84">
        <f t="shared" si="455"/>
        <v>2745258.74</v>
      </c>
      <c r="M733" s="84">
        <f t="shared" si="455"/>
        <v>0</v>
      </c>
      <c r="N733" s="84">
        <f t="shared" si="455"/>
        <v>0</v>
      </c>
      <c r="O733" s="84">
        <f t="shared" si="455"/>
        <v>0</v>
      </c>
      <c r="P733" s="84">
        <f t="shared" si="434"/>
        <v>2691167</v>
      </c>
      <c r="Q733" s="84">
        <f t="shared" si="435"/>
        <v>2718077.96</v>
      </c>
      <c r="R733" s="84">
        <f t="shared" si="436"/>
        <v>2745258.74</v>
      </c>
    </row>
    <row r="734" spans="1:18" ht="38.25">
      <c r="A734" s="78" t="s">
        <v>96</v>
      </c>
      <c r="B734" s="1" t="s">
        <v>404</v>
      </c>
      <c r="C734" s="1" t="s">
        <v>20</v>
      </c>
      <c r="D734" s="1" t="s">
        <v>13</v>
      </c>
      <c r="E734" s="1" t="s">
        <v>82</v>
      </c>
      <c r="F734" s="1" t="s">
        <v>70</v>
      </c>
      <c r="G734" s="1" t="s">
        <v>148</v>
      </c>
      <c r="H734" s="1" t="s">
        <v>170</v>
      </c>
      <c r="I734" s="13" t="s">
        <v>92</v>
      </c>
      <c r="J734" s="84">
        <f>J735</f>
        <v>2691167</v>
      </c>
      <c r="K734" s="84">
        <f t="shared" si="455"/>
        <v>2718077.96</v>
      </c>
      <c r="L734" s="84">
        <f t="shared" si="455"/>
        <v>2745258.74</v>
      </c>
      <c r="M734" s="84">
        <f t="shared" si="455"/>
        <v>0</v>
      </c>
      <c r="N734" s="84">
        <f t="shared" si="455"/>
        <v>0</v>
      </c>
      <c r="O734" s="84">
        <f t="shared" si="455"/>
        <v>0</v>
      </c>
      <c r="P734" s="84">
        <f t="shared" si="434"/>
        <v>2691167</v>
      </c>
      <c r="Q734" s="84">
        <f t="shared" si="435"/>
        <v>2718077.96</v>
      </c>
      <c r="R734" s="84">
        <f t="shared" si="436"/>
        <v>2745258.74</v>
      </c>
    </row>
    <row r="735" spans="1:18">
      <c r="A735" s="78" t="s">
        <v>103</v>
      </c>
      <c r="B735" s="1" t="s">
        <v>404</v>
      </c>
      <c r="C735" s="1" t="s">
        <v>20</v>
      </c>
      <c r="D735" s="1" t="s">
        <v>13</v>
      </c>
      <c r="E735" s="1" t="s">
        <v>82</v>
      </c>
      <c r="F735" s="1" t="s">
        <v>70</v>
      </c>
      <c r="G735" s="1" t="s">
        <v>148</v>
      </c>
      <c r="H735" s="1" t="s">
        <v>170</v>
      </c>
      <c r="I735" s="13" t="s">
        <v>102</v>
      </c>
      <c r="J735" s="84">
        <v>2691167</v>
      </c>
      <c r="K735" s="84">
        <v>2718077.96</v>
      </c>
      <c r="L735" s="84">
        <v>2745258.74</v>
      </c>
      <c r="M735" s="84"/>
      <c r="N735" s="84"/>
      <c r="O735" s="84"/>
      <c r="P735" s="84">
        <f t="shared" si="434"/>
        <v>2691167</v>
      </c>
      <c r="Q735" s="84">
        <f t="shared" si="435"/>
        <v>2718077.96</v>
      </c>
      <c r="R735" s="84">
        <f t="shared" si="436"/>
        <v>2745258.74</v>
      </c>
    </row>
    <row r="736" spans="1:18" ht="25.5">
      <c r="A736" s="5" t="s">
        <v>329</v>
      </c>
      <c r="B736" s="1" t="s">
        <v>404</v>
      </c>
      <c r="C736" s="1" t="s">
        <v>20</v>
      </c>
      <c r="D736" s="1" t="s">
        <v>13</v>
      </c>
      <c r="E736" s="1" t="s">
        <v>82</v>
      </c>
      <c r="F736" s="1" t="s">
        <v>70</v>
      </c>
      <c r="G736" s="1" t="s">
        <v>148</v>
      </c>
      <c r="H736" s="1" t="s">
        <v>171</v>
      </c>
      <c r="I736" s="13"/>
      <c r="J736" s="84">
        <f>J737+J739</f>
        <v>244700</v>
      </c>
      <c r="K736" s="84">
        <f t="shared" ref="K736:L736" si="456">K737+K739</f>
        <v>244700</v>
      </c>
      <c r="L736" s="84">
        <f t="shared" si="456"/>
        <v>244700</v>
      </c>
      <c r="M736" s="84">
        <f t="shared" ref="M736:O736" si="457">M737+M739</f>
        <v>0</v>
      </c>
      <c r="N736" s="84">
        <f t="shared" si="457"/>
        <v>0</v>
      </c>
      <c r="O736" s="84">
        <f t="shared" si="457"/>
        <v>0</v>
      </c>
      <c r="P736" s="84">
        <f t="shared" si="434"/>
        <v>244700</v>
      </c>
      <c r="Q736" s="84">
        <f t="shared" si="435"/>
        <v>244700</v>
      </c>
      <c r="R736" s="84">
        <f t="shared" si="436"/>
        <v>244700</v>
      </c>
    </row>
    <row r="737" spans="1:18" ht="38.25">
      <c r="A737" s="78" t="s">
        <v>96</v>
      </c>
      <c r="B737" s="1" t="s">
        <v>404</v>
      </c>
      <c r="C737" s="1" t="s">
        <v>20</v>
      </c>
      <c r="D737" s="1" t="s">
        <v>13</v>
      </c>
      <c r="E737" s="1" t="s">
        <v>82</v>
      </c>
      <c r="F737" s="1" t="s">
        <v>70</v>
      </c>
      <c r="G737" s="1" t="s">
        <v>148</v>
      </c>
      <c r="H737" s="1" t="s">
        <v>171</v>
      </c>
      <c r="I737" s="13" t="s">
        <v>92</v>
      </c>
      <c r="J737" s="84">
        <f>J738</f>
        <v>124700</v>
      </c>
      <c r="K737" s="84">
        <f t="shared" ref="K737:O737" si="458">K738</f>
        <v>124700</v>
      </c>
      <c r="L737" s="84">
        <f t="shared" si="458"/>
        <v>124700</v>
      </c>
      <c r="M737" s="84">
        <f t="shared" si="458"/>
        <v>0</v>
      </c>
      <c r="N737" s="84">
        <f t="shared" si="458"/>
        <v>0</v>
      </c>
      <c r="O737" s="84">
        <f t="shared" si="458"/>
        <v>0</v>
      </c>
      <c r="P737" s="84">
        <f t="shared" si="434"/>
        <v>124700</v>
      </c>
      <c r="Q737" s="84">
        <f t="shared" si="435"/>
        <v>124700</v>
      </c>
      <c r="R737" s="84">
        <f t="shared" si="436"/>
        <v>124700</v>
      </c>
    </row>
    <row r="738" spans="1:18">
      <c r="A738" s="78" t="s">
        <v>103</v>
      </c>
      <c r="B738" s="1" t="s">
        <v>404</v>
      </c>
      <c r="C738" s="1" t="s">
        <v>20</v>
      </c>
      <c r="D738" s="1" t="s">
        <v>13</v>
      </c>
      <c r="E738" s="1" t="s">
        <v>82</v>
      </c>
      <c r="F738" s="1" t="s">
        <v>70</v>
      </c>
      <c r="G738" s="1" t="s">
        <v>148</v>
      </c>
      <c r="H738" s="1" t="s">
        <v>171</v>
      </c>
      <c r="I738" s="13" t="s">
        <v>102</v>
      </c>
      <c r="J738" s="84">
        <v>124700</v>
      </c>
      <c r="K738" s="84">
        <v>124700</v>
      </c>
      <c r="L738" s="84">
        <v>124700</v>
      </c>
      <c r="M738" s="84"/>
      <c r="N738" s="84"/>
      <c r="O738" s="84"/>
      <c r="P738" s="84">
        <f t="shared" si="434"/>
        <v>124700</v>
      </c>
      <c r="Q738" s="84">
        <f t="shared" si="435"/>
        <v>124700</v>
      </c>
      <c r="R738" s="84">
        <f t="shared" si="436"/>
        <v>124700</v>
      </c>
    </row>
    <row r="739" spans="1:18" ht="25.5">
      <c r="A739" s="80" t="s">
        <v>260</v>
      </c>
      <c r="B739" s="1" t="s">
        <v>404</v>
      </c>
      <c r="C739" s="1" t="s">
        <v>20</v>
      </c>
      <c r="D739" s="1" t="s">
        <v>13</v>
      </c>
      <c r="E739" s="1" t="s">
        <v>82</v>
      </c>
      <c r="F739" s="1" t="s">
        <v>70</v>
      </c>
      <c r="G739" s="1" t="s">
        <v>148</v>
      </c>
      <c r="H739" s="1" t="s">
        <v>171</v>
      </c>
      <c r="I739" s="13" t="s">
        <v>94</v>
      </c>
      <c r="J739" s="84">
        <f>J740</f>
        <v>120000</v>
      </c>
      <c r="K739" s="84">
        <f t="shared" ref="K739:O739" si="459">K740</f>
        <v>120000</v>
      </c>
      <c r="L739" s="84">
        <f t="shared" si="459"/>
        <v>120000</v>
      </c>
      <c r="M739" s="84">
        <f t="shared" si="459"/>
        <v>0</v>
      </c>
      <c r="N739" s="84">
        <f t="shared" si="459"/>
        <v>0</v>
      </c>
      <c r="O739" s="84">
        <f t="shared" si="459"/>
        <v>0</v>
      </c>
      <c r="P739" s="84">
        <f t="shared" si="434"/>
        <v>120000</v>
      </c>
      <c r="Q739" s="84">
        <f t="shared" si="435"/>
        <v>120000</v>
      </c>
      <c r="R739" s="84">
        <f t="shared" si="436"/>
        <v>120000</v>
      </c>
    </row>
    <row r="740" spans="1:18" ht="25.5">
      <c r="A740" s="78" t="s">
        <v>98</v>
      </c>
      <c r="B740" s="1" t="s">
        <v>404</v>
      </c>
      <c r="C740" s="1" t="s">
        <v>20</v>
      </c>
      <c r="D740" s="1" t="s">
        <v>13</v>
      </c>
      <c r="E740" s="1" t="s">
        <v>82</v>
      </c>
      <c r="F740" s="1" t="s">
        <v>70</v>
      </c>
      <c r="G740" s="1" t="s">
        <v>148</v>
      </c>
      <c r="H740" s="1" t="s">
        <v>171</v>
      </c>
      <c r="I740" s="13" t="s">
        <v>95</v>
      </c>
      <c r="J740" s="84">
        <v>120000</v>
      </c>
      <c r="K740" s="84">
        <v>120000</v>
      </c>
      <c r="L740" s="84">
        <v>120000</v>
      </c>
      <c r="M740" s="84"/>
      <c r="N740" s="84"/>
      <c r="O740" s="84"/>
      <c r="P740" s="84">
        <f t="shared" si="434"/>
        <v>120000</v>
      </c>
      <c r="Q740" s="84">
        <f t="shared" si="435"/>
        <v>120000</v>
      </c>
      <c r="R740" s="84">
        <f t="shared" si="436"/>
        <v>120000</v>
      </c>
    </row>
    <row r="741" spans="1:18">
      <c r="A741" s="134"/>
      <c r="B741" s="1"/>
      <c r="C741" s="1"/>
      <c r="D741" s="1"/>
      <c r="E741" s="36"/>
      <c r="F741" s="36"/>
      <c r="G741" s="36"/>
      <c r="H741" s="37"/>
      <c r="I741" s="37"/>
      <c r="J741" s="84"/>
      <c r="K741" s="84"/>
      <c r="L741" s="84"/>
      <c r="M741" s="84"/>
      <c r="N741" s="84"/>
      <c r="O741" s="84"/>
      <c r="P741" s="84"/>
      <c r="Q741" s="84"/>
      <c r="R741" s="84"/>
    </row>
    <row r="742" spans="1:18" ht="25.5">
      <c r="A742" s="192" t="s">
        <v>411</v>
      </c>
      <c r="B742" s="149" t="s">
        <v>403</v>
      </c>
      <c r="C742" s="150"/>
      <c r="D742" s="150"/>
      <c r="E742" s="160"/>
      <c r="F742" s="160"/>
      <c r="G742" s="160"/>
      <c r="H742" s="160"/>
      <c r="I742" s="161"/>
      <c r="J742" s="151">
        <f>J743</f>
        <v>1865585</v>
      </c>
      <c r="K742" s="151">
        <f t="shared" ref="K742:O745" si="460">K743</f>
        <v>1883050.67</v>
      </c>
      <c r="L742" s="151">
        <f t="shared" si="460"/>
        <v>1900691.18</v>
      </c>
      <c r="M742" s="151">
        <f t="shared" si="460"/>
        <v>0</v>
      </c>
      <c r="N742" s="151">
        <f t="shared" si="460"/>
        <v>0</v>
      </c>
      <c r="O742" s="151">
        <f t="shared" si="460"/>
        <v>0</v>
      </c>
      <c r="P742" s="151">
        <f t="shared" si="434"/>
        <v>1865585</v>
      </c>
      <c r="Q742" s="151">
        <f t="shared" si="435"/>
        <v>1883050.67</v>
      </c>
      <c r="R742" s="151">
        <f t="shared" si="436"/>
        <v>1900691.18</v>
      </c>
    </row>
    <row r="743" spans="1:18" ht="15.75">
      <c r="A743" s="25" t="s">
        <v>32</v>
      </c>
      <c r="B743" s="144" t="s">
        <v>403</v>
      </c>
      <c r="C743" s="145" t="s">
        <v>20</v>
      </c>
      <c r="D743" s="145"/>
      <c r="E743" s="145"/>
      <c r="F743" s="145"/>
      <c r="G743" s="145"/>
      <c r="H743" s="145"/>
      <c r="I743" s="146"/>
      <c r="J743" s="147">
        <f>J744</f>
        <v>1865585</v>
      </c>
      <c r="K743" s="147">
        <f t="shared" si="460"/>
        <v>1883050.67</v>
      </c>
      <c r="L743" s="147">
        <f t="shared" si="460"/>
        <v>1900691.18</v>
      </c>
      <c r="M743" s="147">
        <f t="shared" si="460"/>
        <v>0</v>
      </c>
      <c r="N743" s="147">
        <f t="shared" si="460"/>
        <v>0</v>
      </c>
      <c r="O743" s="147">
        <f t="shared" si="460"/>
        <v>0</v>
      </c>
      <c r="P743" s="147">
        <f t="shared" si="434"/>
        <v>1865585</v>
      </c>
      <c r="Q743" s="147">
        <f t="shared" si="435"/>
        <v>1883050.67</v>
      </c>
      <c r="R743" s="147">
        <f t="shared" si="436"/>
        <v>1900691.18</v>
      </c>
    </row>
    <row r="744" spans="1:18" ht="25.5">
      <c r="A744" s="19" t="s">
        <v>34</v>
      </c>
      <c r="B744" s="14" t="s">
        <v>403</v>
      </c>
      <c r="C744" s="14" t="s">
        <v>20</v>
      </c>
      <c r="D744" s="14" t="s">
        <v>3</v>
      </c>
      <c r="E744" s="14"/>
      <c r="F744" s="14"/>
      <c r="G744" s="14"/>
      <c r="H744" s="1"/>
      <c r="I744" s="13"/>
      <c r="J744" s="112">
        <f>J745</f>
        <v>1865585</v>
      </c>
      <c r="K744" s="112">
        <f t="shared" si="460"/>
        <v>1883050.67</v>
      </c>
      <c r="L744" s="112">
        <f t="shared" si="460"/>
        <v>1900691.18</v>
      </c>
      <c r="M744" s="112">
        <f t="shared" si="460"/>
        <v>0</v>
      </c>
      <c r="N744" s="112">
        <f t="shared" si="460"/>
        <v>0</v>
      </c>
      <c r="O744" s="112">
        <f t="shared" si="460"/>
        <v>0</v>
      </c>
      <c r="P744" s="112">
        <f t="shared" si="434"/>
        <v>1865585</v>
      </c>
      <c r="Q744" s="112">
        <f t="shared" si="435"/>
        <v>1883050.67</v>
      </c>
      <c r="R744" s="112">
        <f t="shared" si="436"/>
        <v>1900691.18</v>
      </c>
    </row>
    <row r="745" spans="1:18">
      <c r="A745" s="7" t="s">
        <v>83</v>
      </c>
      <c r="B745" s="1" t="s">
        <v>403</v>
      </c>
      <c r="C745" s="1" t="s">
        <v>20</v>
      </c>
      <c r="D745" s="1" t="s">
        <v>3</v>
      </c>
      <c r="E745" s="1" t="s">
        <v>82</v>
      </c>
      <c r="F745" s="1" t="s">
        <v>70</v>
      </c>
      <c r="G745" s="1" t="s">
        <v>148</v>
      </c>
      <c r="H745" s="1" t="s">
        <v>149</v>
      </c>
      <c r="I745" s="13"/>
      <c r="J745" s="84">
        <f>J746</f>
        <v>1865585</v>
      </c>
      <c r="K745" s="84">
        <f t="shared" si="460"/>
        <v>1883050.67</v>
      </c>
      <c r="L745" s="84">
        <f t="shared" si="460"/>
        <v>1900691.18</v>
      </c>
      <c r="M745" s="84">
        <f t="shared" si="460"/>
        <v>0</v>
      </c>
      <c r="N745" s="84">
        <f t="shared" si="460"/>
        <v>0</v>
      </c>
      <c r="O745" s="84">
        <f t="shared" si="460"/>
        <v>0</v>
      </c>
      <c r="P745" s="84">
        <f t="shared" si="434"/>
        <v>1865585</v>
      </c>
      <c r="Q745" s="84">
        <f t="shared" si="435"/>
        <v>1883050.67</v>
      </c>
      <c r="R745" s="84">
        <f t="shared" si="436"/>
        <v>1900691.18</v>
      </c>
    </row>
    <row r="746" spans="1:18">
      <c r="A746" s="11" t="s">
        <v>274</v>
      </c>
      <c r="B746" s="1" t="s">
        <v>403</v>
      </c>
      <c r="C746" s="1" t="s">
        <v>20</v>
      </c>
      <c r="D746" s="1" t="s">
        <v>3</v>
      </c>
      <c r="E746" s="1" t="s">
        <v>82</v>
      </c>
      <c r="F746" s="1" t="s">
        <v>70</v>
      </c>
      <c r="G746" s="1" t="s">
        <v>148</v>
      </c>
      <c r="H746" s="1" t="s">
        <v>275</v>
      </c>
      <c r="I746" s="13"/>
      <c r="J746" s="84">
        <f>J747+J749</f>
        <v>1865585</v>
      </c>
      <c r="K746" s="84">
        <f t="shared" ref="K746:L746" si="461">K747+K749</f>
        <v>1883050.67</v>
      </c>
      <c r="L746" s="84">
        <f t="shared" si="461"/>
        <v>1900691.18</v>
      </c>
      <c r="M746" s="84">
        <f t="shared" ref="M746:O746" si="462">M747+M749</f>
        <v>0</v>
      </c>
      <c r="N746" s="84">
        <f t="shared" si="462"/>
        <v>0</v>
      </c>
      <c r="O746" s="84">
        <f t="shared" si="462"/>
        <v>0</v>
      </c>
      <c r="P746" s="84">
        <f t="shared" si="434"/>
        <v>1865585</v>
      </c>
      <c r="Q746" s="84">
        <f t="shared" si="435"/>
        <v>1883050.67</v>
      </c>
      <c r="R746" s="84">
        <f t="shared" si="436"/>
        <v>1900691.18</v>
      </c>
    </row>
    <row r="747" spans="1:18" ht="38.25">
      <c r="A747" s="78" t="s">
        <v>96</v>
      </c>
      <c r="B747" s="1" t="s">
        <v>403</v>
      </c>
      <c r="C747" s="1" t="s">
        <v>20</v>
      </c>
      <c r="D747" s="1" t="s">
        <v>3</v>
      </c>
      <c r="E747" s="1" t="s">
        <v>82</v>
      </c>
      <c r="F747" s="1" t="s">
        <v>70</v>
      </c>
      <c r="G747" s="1" t="s">
        <v>148</v>
      </c>
      <c r="H747" s="1" t="s">
        <v>275</v>
      </c>
      <c r="I747" s="13" t="s">
        <v>92</v>
      </c>
      <c r="J747" s="84">
        <f>J748</f>
        <v>1801585</v>
      </c>
      <c r="K747" s="84">
        <f t="shared" ref="K747:O747" si="463">K748</f>
        <v>1819050.67</v>
      </c>
      <c r="L747" s="84">
        <f t="shared" si="463"/>
        <v>1836691.18</v>
      </c>
      <c r="M747" s="84">
        <f t="shared" si="463"/>
        <v>0</v>
      </c>
      <c r="N747" s="84">
        <f t="shared" si="463"/>
        <v>0</v>
      </c>
      <c r="O747" s="84">
        <f t="shared" si="463"/>
        <v>0</v>
      </c>
      <c r="P747" s="84">
        <f t="shared" si="434"/>
        <v>1801585</v>
      </c>
      <c r="Q747" s="84">
        <f t="shared" si="435"/>
        <v>1819050.67</v>
      </c>
      <c r="R747" s="84">
        <f t="shared" si="436"/>
        <v>1836691.18</v>
      </c>
    </row>
    <row r="748" spans="1:18">
      <c r="A748" s="78" t="s">
        <v>103</v>
      </c>
      <c r="B748" s="1" t="s">
        <v>403</v>
      </c>
      <c r="C748" s="1" t="s">
        <v>20</v>
      </c>
      <c r="D748" s="1" t="s">
        <v>3</v>
      </c>
      <c r="E748" s="1" t="s">
        <v>82</v>
      </c>
      <c r="F748" s="1" t="s">
        <v>70</v>
      </c>
      <c r="G748" s="1" t="s">
        <v>148</v>
      </c>
      <c r="H748" s="1" t="s">
        <v>275</v>
      </c>
      <c r="I748" s="13" t="s">
        <v>102</v>
      </c>
      <c r="J748" s="84">
        <v>1801585</v>
      </c>
      <c r="K748" s="84">
        <v>1819050.67</v>
      </c>
      <c r="L748" s="84">
        <v>1836691.18</v>
      </c>
      <c r="M748" s="84"/>
      <c r="N748" s="84"/>
      <c r="O748" s="84"/>
      <c r="P748" s="84">
        <f t="shared" si="434"/>
        <v>1801585</v>
      </c>
      <c r="Q748" s="84">
        <f t="shared" si="435"/>
        <v>1819050.67</v>
      </c>
      <c r="R748" s="84">
        <f t="shared" si="436"/>
        <v>1836691.18</v>
      </c>
    </row>
    <row r="749" spans="1:18" ht="25.5">
      <c r="A749" s="80" t="s">
        <v>260</v>
      </c>
      <c r="B749" s="1" t="s">
        <v>403</v>
      </c>
      <c r="C749" s="1" t="s">
        <v>20</v>
      </c>
      <c r="D749" s="1" t="s">
        <v>3</v>
      </c>
      <c r="E749" s="1" t="s">
        <v>82</v>
      </c>
      <c r="F749" s="1" t="s">
        <v>70</v>
      </c>
      <c r="G749" s="1" t="s">
        <v>148</v>
      </c>
      <c r="H749" s="1" t="s">
        <v>275</v>
      </c>
      <c r="I749" s="13" t="s">
        <v>94</v>
      </c>
      <c r="J749" s="84">
        <f>J750</f>
        <v>64000</v>
      </c>
      <c r="K749" s="84">
        <f t="shared" ref="K749:O749" si="464">K750</f>
        <v>64000</v>
      </c>
      <c r="L749" s="84">
        <f t="shared" si="464"/>
        <v>64000</v>
      </c>
      <c r="M749" s="84">
        <f t="shared" si="464"/>
        <v>0</v>
      </c>
      <c r="N749" s="84">
        <f t="shared" si="464"/>
        <v>0</v>
      </c>
      <c r="O749" s="84">
        <f t="shared" si="464"/>
        <v>0</v>
      </c>
      <c r="P749" s="84">
        <f t="shared" si="434"/>
        <v>64000</v>
      </c>
      <c r="Q749" s="84">
        <f t="shared" si="435"/>
        <v>64000</v>
      </c>
      <c r="R749" s="84">
        <f t="shared" si="436"/>
        <v>64000</v>
      </c>
    </row>
    <row r="750" spans="1:18" ht="27.75" customHeight="1">
      <c r="A750" s="78" t="s">
        <v>98</v>
      </c>
      <c r="B750" s="1" t="s">
        <v>403</v>
      </c>
      <c r="C750" s="1" t="s">
        <v>20</v>
      </c>
      <c r="D750" s="1" t="s">
        <v>3</v>
      </c>
      <c r="E750" s="1" t="s">
        <v>82</v>
      </c>
      <c r="F750" s="1" t="s">
        <v>70</v>
      </c>
      <c r="G750" s="1" t="s">
        <v>148</v>
      </c>
      <c r="H750" s="1" t="s">
        <v>275</v>
      </c>
      <c r="I750" s="13" t="s">
        <v>95</v>
      </c>
      <c r="J750" s="84">
        <v>64000</v>
      </c>
      <c r="K750" s="84">
        <v>64000</v>
      </c>
      <c r="L750" s="84">
        <v>64000</v>
      </c>
      <c r="M750" s="84"/>
      <c r="N750" s="84"/>
      <c r="O750" s="84"/>
      <c r="P750" s="84">
        <f t="shared" si="434"/>
        <v>64000</v>
      </c>
      <c r="Q750" s="84">
        <f t="shared" si="435"/>
        <v>64000</v>
      </c>
      <c r="R750" s="84">
        <f t="shared" si="436"/>
        <v>64000</v>
      </c>
    </row>
    <row r="751" spans="1:18">
      <c r="A751" s="2"/>
      <c r="B751" s="49"/>
      <c r="C751" s="1"/>
      <c r="D751" s="1"/>
      <c r="E751" s="1"/>
      <c r="F751" s="1"/>
      <c r="G751" s="1"/>
      <c r="H751" s="1"/>
      <c r="I751" s="13"/>
      <c r="J751" s="84"/>
      <c r="K751" s="84"/>
      <c r="L751" s="84"/>
      <c r="M751" s="84"/>
      <c r="N751" s="84"/>
      <c r="O751" s="84"/>
      <c r="P751" s="84"/>
      <c r="Q751" s="84"/>
      <c r="R751" s="84"/>
    </row>
    <row r="752" spans="1:18">
      <c r="A752" s="173" t="s">
        <v>390</v>
      </c>
      <c r="B752" s="174"/>
      <c r="C752" s="175"/>
      <c r="D752" s="176"/>
      <c r="E752" s="174"/>
      <c r="F752" s="174"/>
      <c r="G752" s="174"/>
      <c r="H752" s="177"/>
      <c r="I752" s="177"/>
      <c r="J752" s="178"/>
      <c r="K752" s="178">
        <v>16087000</v>
      </c>
      <c r="L752" s="178">
        <v>32828000</v>
      </c>
      <c r="M752" s="178"/>
      <c r="N752" s="178"/>
      <c r="O752" s="178"/>
      <c r="P752" s="178">
        <f t="shared" si="434"/>
        <v>0</v>
      </c>
      <c r="Q752" s="178">
        <f t="shared" si="435"/>
        <v>16087000</v>
      </c>
      <c r="R752" s="178">
        <f t="shared" si="436"/>
        <v>32828000</v>
      </c>
    </row>
    <row r="753" spans="1:19" ht="15">
      <c r="A753" s="70" t="s">
        <v>39</v>
      </c>
      <c r="B753" s="71"/>
      <c r="C753" s="72"/>
      <c r="D753" s="72"/>
      <c r="E753" s="72"/>
      <c r="F753" s="72"/>
      <c r="G753" s="72"/>
      <c r="H753" s="72"/>
      <c r="I753" s="72"/>
      <c r="J753" s="119">
        <f t="shared" ref="J753:O753" si="465">J17+J142+J373+J343+J729+J742+J302+J752</f>
        <v>975148001.93999994</v>
      </c>
      <c r="K753" s="119">
        <f t="shared" si="465"/>
        <v>900335165.51999998</v>
      </c>
      <c r="L753" s="119">
        <f t="shared" si="465"/>
        <v>922464352.67999995</v>
      </c>
      <c r="M753" s="119">
        <f t="shared" si="465"/>
        <v>101114287.67</v>
      </c>
      <c r="N753" s="119">
        <f t="shared" si="465"/>
        <v>771777.15999999968</v>
      </c>
      <c r="O753" s="119">
        <f t="shared" si="465"/>
        <v>-1690538.9500000004</v>
      </c>
      <c r="P753" s="119">
        <f t="shared" si="434"/>
        <v>1076262289.6099999</v>
      </c>
      <c r="Q753" s="119">
        <f t="shared" si="435"/>
        <v>901106942.67999995</v>
      </c>
      <c r="R753" s="119">
        <f t="shared" si="436"/>
        <v>920773813.7299999</v>
      </c>
      <c r="S753" t="s">
        <v>416</v>
      </c>
    </row>
    <row r="754" spans="1:19" ht="15">
      <c r="A754" s="182"/>
      <c r="B754" s="182"/>
      <c r="C754" s="183"/>
      <c r="D754" s="183"/>
      <c r="E754" s="183"/>
      <c r="F754" s="183"/>
      <c r="G754" s="183"/>
      <c r="H754" s="183"/>
      <c r="I754" s="183"/>
      <c r="J754" s="184"/>
      <c r="K754" s="184"/>
      <c r="L754" s="184"/>
    </row>
    <row r="755" spans="1:19">
      <c r="A755" t="s">
        <v>115</v>
      </c>
      <c r="H755" t="s">
        <v>130</v>
      </c>
      <c r="J755" s="120">
        <f>J20+J24+J28+J35+J51+J58+J123+J130+J145+J161+J194+J219+J225+J244+J272+J382+J424+J420+J432+J463+J484+J488+J497+J510+J530+J541+J554+J571+J592+J599+J604+J617+J621+J648+J669+J674+J689+J693+J716+J723+J305+J320+J327+J332+J347</f>
        <v>700282454.38</v>
      </c>
      <c r="K755" s="120">
        <f>K20+K24+K28+K35+K51+K58+K123+K130+K145+K161+K194+K219+K225+K244+K272+K382+K424+K420+K432+K463+K484+K488+K497+K510+K530+K541+K554+K571+K592+K599+K604+K617+K621+K648+K669+K674+K689+K693+K716+K723+K305+K320+K327+K332+K347</f>
        <v>613436566.08000028</v>
      </c>
      <c r="L755" s="120">
        <f>L20+L24+L28+L35+L51+L58+L123+L130+L145+L161+L194+L219+L225+L244+L272+L382+L424+L420+L432+L463+L484+L488+L497+L510+L530+L541+L554+L571+L592+L599+L604+L617+L621+L648+L669+L674+L689+L693+L716+L723+L305+L320+L327+L332+L347</f>
        <v>617466192.73000002</v>
      </c>
    </row>
    <row r="756" spans="1:19" ht="15">
      <c r="A756" s="182"/>
      <c r="B756" s="182"/>
      <c r="C756" s="183"/>
      <c r="D756" s="183"/>
      <c r="E756" s="183"/>
      <c r="F756" s="183"/>
      <c r="G756" s="183"/>
      <c r="H756" s="183"/>
      <c r="I756" s="183"/>
      <c r="J756" s="184"/>
      <c r="K756" s="184"/>
      <c r="L756" s="184"/>
    </row>
    <row r="757" spans="1:19" ht="15">
      <c r="A757" s="182"/>
      <c r="B757" s="182"/>
      <c r="C757" s="183"/>
      <c r="D757" s="183"/>
      <c r="E757" s="183"/>
      <c r="F757" s="183"/>
      <c r="G757" s="183"/>
      <c r="H757" s="183"/>
      <c r="I757" s="183"/>
      <c r="J757" s="184"/>
      <c r="K757" s="184"/>
      <c r="L757" s="184"/>
    </row>
    <row r="758" spans="1:19" ht="15">
      <c r="A758" s="182"/>
      <c r="B758" s="182"/>
      <c r="C758" s="183"/>
      <c r="D758" s="183"/>
      <c r="E758" s="183"/>
      <c r="F758" s="183"/>
      <c r="G758" s="183"/>
      <c r="H758" s="183"/>
      <c r="I758" s="183"/>
      <c r="J758" s="184"/>
      <c r="K758" s="184"/>
      <c r="L758" s="184"/>
    </row>
    <row r="759" spans="1:19" ht="15">
      <c r="A759" s="182"/>
      <c r="B759" s="182"/>
      <c r="C759" s="183"/>
      <c r="D759" s="183"/>
      <c r="E759" s="183"/>
      <c r="F759" s="183"/>
      <c r="G759" s="183"/>
      <c r="H759" s="183"/>
      <c r="I759" s="183"/>
      <c r="J759" s="184"/>
      <c r="K759" s="184"/>
      <c r="L759" s="184"/>
    </row>
    <row r="760" spans="1:19" ht="15">
      <c r="A760" s="182"/>
      <c r="B760" s="182"/>
      <c r="C760" s="183"/>
      <c r="D760" s="183"/>
      <c r="E760" s="183"/>
      <c r="F760" s="183"/>
      <c r="G760" s="183"/>
      <c r="H760" s="183"/>
      <c r="I760" s="183"/>
      <c r="J760" s="184"/>
      <c r="K760" s="184"/>
      <c r="L760" s="184"/>
    </row>
    <row r="761" spans="1:19" ht="15">
      <c r="A761" s="182"/>
      <c r="B761" s="182"/>
      <c r="C761" s="183"/>
      <c r="D761" s="183"/>
      <c r="E761" s="183"/>
      <c r="F761" s="183"/>
      <c r="G761" s="183"/>
      <c r="H761" s="183"/>
      <c r="I761" s="183"/>
      <c r="J761" s="184"/>
      <c r="K761" s="184"/>
      <c r="L761" s="184"/>
    </row>
    <row r="762" spans="1:19" ht="15">
      <c r="A762" s="182"/>
      <c r="B762" s="182"/>
      <c r="C762" s="183"/>
      <c r="D762" s="183"/>
      <c r="E762" s="183"/>
      <c r="F762" s="183"/>
      <c r="G762" s="183"/>
      <c r="H762" s="183"/>
      <c r="I762" s="183"/>
      <c r="J762" s="184"/>
      <c r="K762" s="184"/>
      <c r="L762" s="184"/>
    </row>
    <row r="763" spans="1:19">
      <c r="J763" s="85">
        <v>632905897.89999998</v>
      </c>
      <c r="K763" s="180">
        <f>627379898.9+K752</f>
        <v>643466898.89999998</v>
      </c>
      <c r="L763" s="180">
        <f>623724598.9+L752</f>
        <v>656552598.89999998</v>
      </c>
    </row>
    <row r="764" spans="1:19">
      <c r="J764" s="85">
        <v>5000000</v>
      </c>
      <c r="K764" s="181"/>
      <c r="L764" s="181"/>
    </row>
    <row r="765" spans="1:19">
      <c r="J765" s="85">
        <v>337242104.04000002</v>
      </c>
      <c r="K765" s="180">
        <v>256868266.62</v>
      </c>
      <c r="L765" s="180">
        <v>265911753.78</v>
      </c>
    </row>
    <row r="766" spans="1:19">
      <c r="J766" s="85">
        <f>SUM(J763:J765)</f>
        <v>975148001.94000006</v>
      </c>
      <c r="K766" s="85">
        <f t="shared" ref="K766:L766" si="466">SUM(K763:K765)</f>
        <v>900335165.51999998</v>
      </c>
      <c r="L766" s="85">
        <f t="shared" si="466"/>
        <v>922464352.67999995</v>
      </c>
    </row>
    <row r="767" spans="1:19">
      <c r="J767" s="85">
        <f>J753-J766</f>
        <v>0</v>
      </c>
      <c r="K767" s="85">
        <f t="shared" ref="K767:L767" si="467">K753-K766</f>
        <v>0</v>
      </c>
      <c r="L767" s="85">
        <f t="shared" si="467"/>
        <v>0</v>
      </c>
    </row>
    <row r="787" spans="1:1">
      <c r="A787" s="65"/>
    </row>
    <row r="789" spans="1:1">
      <c r="A789" s="65"/>
    </row>
  </sheetData>
  <mergeCells count="11">
    <mergeCell ref="M13:O13"/>
    <mergeCell ref="P13:R13"/>
    <mergeCell ref="A11:R11"/>
    <mergeCell ref="E15:H15"/>
    <mergeCell ref="J13:L13"/>
    <mergeCell ref="A13:A14"/>
    <mergeCell ref="B13:B14"/>
    <mergeCell ref="C13:C14"/>
    <mergeCell ref="D13:D14"/>
    <mergeCell ref="E13:H14"/>
    <mergeCell ref="I13:I14"/>
  </mergeCells>
  <phoneticPr fontId="0" type="noConversion"/>
  <pageMargins left="0.59055118110236227" right="0.19685039370078741" top="0.39370078740157483" bottom="0.39370078740157483" header="0.15748031496062992" footer="0.19685039370078741"/>
  <pageSetup paperSize="9" scale="56" firstPageNumber="58" fitToHeight="99" orientation="portrait" r:id="rId1"/>
  <headerFooter alignWithMargins="0">
    <oddFooter>&amp;C&amp;P</oddFooter>
  </headerFooter>
  <rowBreaks count="2" manualBreakCount="2">
    <brk id="136" max="18" man="1"/>
    <brk id="19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разд,подр</vt:lpstr>
      <vt:lpstr>ведомств</vt:lpstr>
      <vt:lpstr>ведомств!Заголовки_для_печати</vt:lpstr>
      <vt:lpstr>'разд,подр'!Заголовки_для_печати</vt:lpstr>
      <vt:lpstr>ведомств!Область_печати</vt:lpstr>
      <vt:lpstr>'разд,подр'!Область_печати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Punyagov</dc:creator>
  <cp:lastModifiedBy>семакова</cp:lastModifiedBy>
  <cp:lastPrinted>2023-01-31T08:55:44Z</cp:lastPrinted>
  <dcterms:created xsi:type="dcterms:W3CDTF">2007-08-13T07:10:11Z</dcterms:created>
  <dcterms:modified xsi:type="dcterms:W3CDTF">2023-02-10T08:28:38Z</dcterms:modified>
</cp:coreProperties>
</file>