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15" windowWidth="20730" windowHeight="11760" activeTab="1"/>
  </bookViews>
  <sheets>
    <sheet name="разд,подр" sheetId="6" r:id="rId1"/>
    <sheet name="ведомств" sheetId="5" r:id="rId2"/>
  </sheets>
  <definedNames>
    <definedName name="_xlnm._FilterDatabase" localSheetId="1" hidden="1">ведомств!$A$16:$J$16</definedName>
    <definedName name="_xlnm.Print_Titles" localSheetId="1">ведомств!$13:$14</definedName>
    <definedName name="_xlnm.Print_Titles" localSheetId="0">'разд,подр'!$13:$14</definedName>
    <definedName name="_xlnm.Print_Area" localSheetId="1">ведомств!$A$1:$Y$1756</definedName>
    <definedName name="_xlnm.Print_Area" localSheetId="0">'разд,подр'!$A$1:$S$83</definedName>
  </definedNames>
  <calcPr calcId="125725" iterate="1"/>
</workbook>
</file>

<file path=xl/calcChain.xml><?xml version="1.0" encoding="utf-8"?>
<calcChain xmlns="http://schemas.openxmlformats.org/spreadsheetml/2006/main">
  <c r="S175" i="5"/>
  <c r="S423"/>
  <c r="S34"/>
  <c r="X1741" l="1"/>
  <c r="W1741"/>
  <c r="V1741"/>
  <c r="U1740"/>
  <c r="X1740" s="1"/>
  <c r="T1740"/>
  <c r="W1740" s="1"/>
  <c r="S1740"/>
  <c r="V1740" s="1"/>
  <c r="X1752"/>
  <c r="V1753"/>
  <c r="W1753"/>
  <c r="X1753"/>
  <c r="T1752"/>
  <c r="W1752" s="1"/>
  <c r="U1752"/>
  <c r="S1752"/>
  <c r="V1752" s="1"/>
  <c r="S1058" l="1"/>
  <c r="S1018"/>
  <c r="T558"/>
  <c r="W558" s="1"/>
  <c r="U558"/>
  <c r="X558" s="1"/>
  <c r="S558"/>
  <c r="V558" s="1"/>
  <c r="L557"/>
  <c r="K557"/>
  <c r="J557"/>
  <c r="R557"/>
  <c r="Q557"/>
  <c r="P557"/>
  <c r="O557"/>
  <c r="N557"/>
  <c r="M557"/>
  <c r="X929"/>
  <c r="W929"/>
  <c r="V929"/>
  <c r="U928"/>
  <c r="T928"/>
  <c r="S928"/>
  <c r="R928"/>
  <c r="X928" s="1"/>
  <c r="Q928"/>
  <c r="W928" s="1"/>
  <c r="P928"/>
  <c r="S557" l="1"/>
  <c r="V557" s="1"/>
  <c r="T557"/>
  <c r="W557" s="1"/>
  <c r="U557"/>
  <c r="V928"/>
  <c r="X375"/>
  <c r="W375"/>
  <c r="V375"/>
  <c r="T374"/>
  <c r="W374" s="1"/>
  <c r="U374"/>
  <c r="U373" s="1"/>
  <c r="S374"/>
  <c r="S373" s="1"/>
  <c r="S372" s="1"/>
  <c r="S371" s="1"/>
  <c r="S1156"/>
  <c r="S429"/>
  <c r="T599"/>
  <c r="W599" s="1"/>
  <c r="U599"/>
  <c r="X599" s="1"/>
  <c r="S599"/>
  <c r="V599" s="1"/>
  <c r="T598"/>
  <c r="W598" s="1"/>
  <c r="S965"/>
  <c r="V965"/>
  <c r="W965"/>
  <c r="X965"/>
  <c r="T964"/>
  <c r="T963" s="1"/>
  <c r="W963" s="1"/>
  <c r="U964"/>
  <c r="U963" s="1"/>
  <c r="X963" s="1"/>
  <c r="S964"/>
  <c r="V964" s="1"/>
  <c r="X557" l="1"/>
  <c r="T373"/>
  <c r="T372" s="1"/>
  <c r="T371" s="1"/>
  <c r="W371" s="1"/>
  <c r="X374"/>
  <c r="U372"/>
  <c r="X373"/>
  <c r="W373"/>
  <c r="X964"/>
  <c r="T597"/>
  <c r="W597" s="1"/>
  <c r="U598"/>
  <c r="X598" s="1"/>
  <c r="W964"/>
  <c r="V372"/>
  <c r="V371"/>
  <c r="V374"/>
  <c r="V373"/>
  <c r="S598"/>
  <c r="S963"/>
  <c r="V963" s="1"/>
  <c r="W372" l="1"/>
  <c r="U371"/>
  <c r="X372"/>
  <c r="U597"/>
  <c r="X597" s="1"/>
  <c r="S597"/>
  <c r="V597" s="1"/>
  <c r="V598"/>
  <c r="X371" l="1"/>
  <c r="S1724"/>
  <c r="E46" i="6"/>
  <c r="F46"/>
  <c r="G46"/>
  <c r="H46"/>
  <c r="I46"/>
  <c r="D46"/>
  <c r="X1726" i="5" l="1"/>
  <c r="W1726"/>
  <c r="V1726"/>
  <c r="U1725"/>
  <c r="T1725"/>
  <c r="S1725"/>
  <c r="R1725"/>
  <c r="Q1725"/>
  <c r="P1725"/>
  <c r="R1724"/>
  <c r="Q1724"/>
  <c r="W1724" s="1"/>
  <c r="P1724"/>
  <c r="V1724" s="1"/>
  <c r="U1723"/>
  <c r="T1723"/>
  <c r="S1723"/>
  <c r="X1722"/>
  <c r="W1722"/>
  <c r="V1722"/>
  <c r="U1721"/>
  <c r="T1721"/>
  <c r="S1721"/>
  <c r="R1721"/>
  <c r="Q1721"/>
  <c r="P1721"/>
  <c r="X1719"/>
  <c r="W1719"/>
  <c r="V1719"/>
  <c r="U1718"/>
  <c r="T1718"/>
  <c r="T1717" s="1"/>
  <c r="S1718"/>
  <c r="R1718"/>
  <c r="R1717" s="1"/>
  <c r="Q1718"/>
  <c r="P1718"/>
  <c r="S1717"/>
  <c r="Q1717"/>
  <c r="X1713"/>
  <c r="W1713"/>
  <c r="V1713"/>
  <c r="U1712"/>
  <c r="T1712"/>
  <c r="T1711" s="1"/>
  <c r="T1710" s="1"/>
  <c r="S1712"/>
  <c r="S1711" s="1"/>
  <c r="S1710" s="1"/>
  <c r="R1712"/>
  <c r="R1711" s="1"/>
  <c r="Q1712"/>
  <c r="P1712"/>
  <c r="X1709"/>
  <c r="W1709"/>
  <c r="V1709"/>
  <c r="U1708"/>
  <c r="T1708"/>
  <c r="S1708"/>
  <c r="R1708"/>
  <c r="Q1708"/>
  <c r="P1708"/>
  <c r="X1707"/>
  <c r="W1707"/>
  <c r="V1707"/>
  <c r="U1706"/>
  <c r="T1706"/>
  <c r="S1706"/>
  <c r="R1706"/>
  <c r="Q1706"/>
  <c r="P1706"/>
  <c r="X1705"/>
  <c r="W1705"/>
  <c r="V1705"/>
  <c r="U1704"/>
  <c r="T1704"/>
  <c r="S1704"/>
  <c r="R1704"/>
  <c r="Q1704"/>
  <c r="P1704"/>
  <c r="X1700"/>
  <c r="W1700"/>
  <c r="V1700"/>
  <c r="U1699"/>
  <c r="T1699"/>
  <c r="S1699"/>
  <c r="R1699"/>
  <c r="Q1699"/>
  <c r="P1699"/>
  <c r="X1698"/>
  <c r="W1698"/>
  <c r="V1698"/>
  <c r="U1697"/>
  <c r="T1697"/>
  <c r="S1697"/>
  <c r="R1697"/>
  <c r="Q1697"/>
  <c r="P1697"/>
  <c r="X1696"/>
  <c r="W1696"/>
  <c r="V1696"/>
  <c r="U1695"/>
  <c r="T1695"/>
  <c r="S1695"/>
  <c r="R1695"/>
  <c r="Q1695"/>
  <c r="P1695"/>
  <c r="X1690"/>
  <c r="W1690"/>
  <c r="V1690"/>
  <c r="U1689"/>
  <c r="U1688" s="1"/>
  <c r="U1687" s="1"/>
  <c r="U1686" s="1"/>
  <c r="U1685" s="1"/>
  <c r="T1689"/>
  <c r="T1688" s="1"/>
  <c r="T1687" s="1"/>
  <c r="T1686" s="1"/>
  <c r="T1685" s="1"/>
  <c r="S1689"/>
  <c r="R1689"/>
  <c r="Q1689"/>
  <c r="P1689"/>
  <c r="S1688"/>
  <c r="X1684"/>
  <c r="W1684"/>
  <c r="V1684"/>
  <c r="U1683"/>
  <c r="T1683"/>
  <c r="S1683"/>
  <c r="R1683"/>
  <c r="Q1683"/>
  <c r="P1683"/>
  <c r="X1682"/>
  <c r="W1682"/>
  <c r="V1682"/>
  <c r="U1681"/>
  <c r="T1681"/>
  <c r="S1681"/>
  <c r="R1681"/>
  <c r="Q1681"/>
  <c r="P1681"/>
  <c r="X1680"/>
  <c r="W1680"/>
  <c r="V1680"/>
  <c r="U1679"/>
  <c r="T1679"/>
  <c r="S1679"/>
  <c r="R1679"/>
  <c r="Q1679"/>
  <c r="P1679"/>
  <c r="W1676"/>
  <c r="V1676"/>
  <c r="R1676"/>
  <c r="R1675" s="1"/>
  <c r="R1674" s="1"/>
  <c r="U1675"/>
  <c r="T1675"/>
  <c r="T1674" s="1"/>
  <c r="T1673" s="1"/>
  <c r="T1672" s="1"/>
  <c r="S1675"/>
  <c r="S1674" s="1"/>
  <c r="S1673" s="1"/>
  <c r="S1672" s="1"/>
  <c r="Q1675"/>
  <c r="Q1674" s="1"/>
  <c r="P1675"/>
  <c r="R1668"/>
  <c r="Q1668"/>
  <c r="Q1667" s="1"/>
  <c r="P1668"/>
  <c r="U1667"/>
  <c r="U1666" s="1"/>
  <c r="T1667"/>
  <c r="T1666" s="1"/>
  <c r="S1667"/>
  <c r="S1666" s="1"/>
  <c r="X1665"/>
  <c r="W1665"/>
  <c r="V1665"/>
  <c r="U1664"/>
  <c r="U1663" s="1"/>
  <c r="T1664"/>
  <c r="T1663" s="1"/>
  <c r="S1664"/>
  <c r="R1664"/>
  <c r="Q1664"/>
  <c r="P1664"/>
  <c r="P1663" s="1"/>
  <c r="V1661"/>
  <c r="R1661"/>
  <c r="Q1661"/>
  <c r="U1660"/>
  <c r="U1659" s="1"/>
  <c r="U1658" s="1"/>
  <c r="T1660"/>
  <c r="T1659" s="1"/>
  <c r="S1660"/>
  <c r="S1659" s="1"/>
  <c r="S1658" s="1"/>
  <c r="P1660"/>
  <c r="P1659" s="1"/>
  <c r="R1656"/>
  <c r="Q1656"/>
  <c r="W1656" s="1"/>
  <c r="P1656"/>
  <c r="U1655"/>
  <c r="U1654" s="1"/>
  <c r="U1653" s="1"/>
  <c r="T1655"/>
  <c r="T1654" s="1"/>
  <c r="T1653" s="1"/>
  <c r="S1655"/>
  <c r="S1654" s="1"/>
  <c r="S1653" s="1"/>
  <c r="V1652"/>
  <c r="R1652"/>
  <c r="X1652" s="1"/>
  <c r="Q1652"/>
  <c r="U1651"/>
  <c r="U1650" s="1"/>
  <c r="U1649" s="1"/>
  <c r="T1651"/>
  <c r="T1650" s="1"/>
  <c r="T1649" s="1"/>
  <c r="S1651"/>
  <c r="S1650" s="1"/>
  <c r="P1651"/>
  <c r="P1650" s="1"/>
  <c r="P1649" s="1"/>
  <c r="X1646"/>
  <c r="W1646"/>
  <c r="V1646"/>
  <c r="U1645"/>
  <c r="U1644" s="1"/>
  <c r="U1643" s="1"/>
  <c r="U1642" s="1"/>
  <c r="U1641" s="1"/>
  <c r="T1645"/>
  <c r="T1644" s="1"/>
  <c r="T1643" s="1"/>
  <c r="T1642" s="1"/>
  <c r="T1641" s="1"/>
  <c r="S1645"/>
  <c r="S1644" s="1"/>
  <c r="S1643" s="1"/>
  <c r="S1642" s="1"/>
  <c r="S1641" s="1"/>
  <c r="R1645"/>
  <c r="R1644" s="1"/>
  <c r="Q1645"/>
  <c r="P1645"/>
  <c r="P1644" s="1"/>
  <c r="P1643" s="1"/>
  <c r="V1640"/>
  <c r="R1640"/>
  <c r="R1639" s="1"/>
  <c r="R1638" s="1"/>
  <c r="Q1640"/>
  <c r="U1639"/>
  <c r="U1638" s="1"/>
  <c r="T1639"/>
  <c r="T1638" s="1"/>
  <c r="S1639"/>
  <c r="S1638" s="1"/>
  <c r="P1639"/>
  <c r="X1637"/>
  <c r="W1637"/>
  <c r="V1637"/>
  <c r="U1636"/>
  <c r="T1636"/>
  <c r="T1635" s="1"/>
  <c r="S1636"/>
  <c r="S1635" s="1"/>
  <c r="R1636"/>
  <c r="R1635" s="1"/>
  <c r="Q1636"/>
  <c r="Q1635" s="1"/>
  <c r="P1636"/>
  <c r="X1631"/>
  <c r="W1631"/>
  <c r="V1631"/>
  <c r="U1630"/>
  <c r="T1630"/>
  <c r="S1630"/>
  <c r="R1630"/>
  <c r="Q1630"/>
  <c r="P1630"/>
  <c r="X1629"/>
  <c r="W1629"/>
  <c r="P1629"/>
  <c r="V1629" s="1"/>
  <c r="U1628"/>
  <c r="T1628"/>
  <c r="S1628"/>
  <c r="R1628"/>
  <c r="Q1628"/>
  <c r="R1623"/>
  <c r="Q1623"/>
  <c r="P1623"/>
  <c r="V1623" s="1"/>
  <c r="U1622"/>
  <c r="T1622"/>
  <c r="S1622"/>
  <c r="R1621"/>
  <c r="X1621" s="1"/>
  <c r="Q1621"/>
  <c r="P1621"/>
  <c r="V1621" s="1"/>
  <c r="U1620"/>
  <c r="T1620"/>
  <c r="S1620"/>
  <c r="P1620"/>
  <c r="R1614"/>
  <c r="Q1614"/>
  <c r="P1614"/>
  <c r="V1614" s="1"/>
  <c r="U1613"/>
  <c r="U1612" s="1"/>
  <c r="T1613"/>
  <c r="T1612" s="1"/>
  <c r="S1613"/>
  <c r="S1612" s="1"/>
  <c r="P1613"/>
  <c r="X1611"/>
  <c r="W1611"/>
  <c r="V1611"/>
  <c r="U1610"/>
  <c r="T1610"/>
  <c r="T1609" s="1"/>
  <c r="S1610"/>
  <c r="S1609" s="1"/>
  <c r="R1610"/>
  <c r="R1609" s="1"/>
  <c r="Q1610"/>
  <c r="Q1609" s="1"/>
  <c r="P1610"/>
  <c r="P1609" s="1"/>
  <c r="V1607"/>
  <c r="R1607"/>
  <c r="R1606" s="1"/>
  <c r="R1605" s="1"/>
  <c r="R1604" s="1"/>
  <c r="Q1607"/>
  <c r="U1606"/>
  <c r="T1606"/>
  <c r="T1605" s="1"/>
  <c r="T1604" s="1"/>
  <c r="S1606"/>
  <c r="S1605" s="1"/>
  <c r="S1604" s="1"/>
  <c r="P1606"/>
  <c r="P1605" s="1"/>
  <c r="R1602"/>
  <c r="R695" s="1"/>
  <c r="R694" s="1"/>
  <c r="Q1602"/>
  <c r="W1602" s="1"/>
  <c r="P1602"/>
  <c r="U1601"/>
  <c r="U1600" s="1"/>
  <c r="U1599" s="1"/>
  <c r="U1598" s="1"/>
  <c r="T1601"/>
  <c r="T1600" s="1"/>
  <c r="T1599" s="1"/>
  <c r="T1598" s="1"/>
  <c r="S1601"/>
  <c r="S1600" s="1"/>
  <c r="S1599" s="1"/>
  <c r="S1598" s="1"/>
  <c r="X1596"/>
  <c r="W1596"/>
  <c r="V1596"/>
  <c r="U1595"/>
  <c r="U1594" s="1"/>
  <c r="U1593" s="1"/>
  <c r="U1592" s="1"/>
  <c r="U1591" s="1"/>
  <c r="T1595"/>
  <c r="T1594" s="1"/>
  <c r="T1593" s="1"/>
  <c r="S1595"/>
  <c r="S1594" s="1"/>
  <c r="S1593" s="1"/>
  <c r="S1592" s="1"/>
  <c r="S1591" s="1"/>
  <c r="R1595"/>
  <c r="Q1595"/>
  <c r="P1595"/>
  <c r="V1590"/>
  <c r="R1590"/>
  <c r="X1590" s="1"/>
  <c r="Q1590"/>
  <c r="W1590" s="1"/>
  <c r="U1589"/>
  <c r="U1588" s="1"/>
  <c r="T1589"/>
  <c r="T1588" s="1"/>
  <c r="S1589"/>
  <c r="S1588" s="1"/>
  <c r="P1589"/>
  <c r="P1588" s="1"/>
  <c r="X1587"/>
  <c r="W1587"/>
  <c r="V1587"/>
  <c r="U1586"/>
  <c r="U1585" s="1"/>
  <c r="T1586"/>
  <c r="T1585" s="1"/>
  <c r="S1586"/>
  <c r="S1585" s="1"/>
  <c r="R1586"/>
  <c r="R1585" s="1"/>
  <c r="Q1586"/>
  <c r="P1586"/>
  <c r="X1581"/>
  <c r="W1581"/>
  <c r="V1581"/>
  <c r="U1580"/>
  <c r="T1580"/>
  <c r="S1580"/>
  <c r="R1580"/>
  <c r="Q1580"/>
  <c r="P1580"/>
  <c r="X1579"/>
  <c r="W1579"/>
  <c r="P1579"/>
  <c r="P1578" s="1"/>
  <c r="U1578"/>
  <c r="T1578"/>
  <c r="S1578"/>
  <c r="R1578"/>
  <c r="Q1578"/>
  <c r="X1573"/>
  <c r="W1573"/>
  <c r="P1573"/>
  <c r="P1572" s="1"/>
  <c r="U1572"/>
  <c r="T1572"/>
  <c r="S1572"/>
  <c r="R1572"/>
  <c r="Q1572"/>
  <c r="R1571"/>
  <c r="Q1571"/>
  <c r="Q1570" s="1"/>
  <c r="P1571"/>
  <c r="U1570"/>
  <c r="T1570"/>
  <c r="S1570"/>
  <c r="R1569"/>
  <c r="X1569" s="1"/>
  <c r="Q1569"/>
  <c r="W1569" s="1"/>
  <c r="P1569"/>
  <c r="U1568"/>
  <c r="T1568"/>
  <c r="S1568"/>
  <c r="Q1568"/>
  <c r="R1562"/>
  <c r="X1562" s="1"/>
  <c r="Q1562"/>
  <c r="P1562"/>
  <c r="P1561" s="1"/>
  <c r="U1561"/>
  <c r="U1560" s="1"/>
  <c r="T1561"/>
  <c r="T1560" s="1"/>
  <c r="S1561"/>
  <c r="S1560" s="1"/>
  <c r="R1561"/>
  <c r="X1559"/>
  <c r="W1559"/>
  <c r="V1559"/>
  <c r="U1558"/>
  <c r="T1558"/>
  <c r="S1558"/>
  <c r="S1557" s="1"/>
  <c r="P1558"/>
  <c r="P1557" s="1"/>
  <c r="R1557"/>
  <c r="Q1557"/>
  <c r="V1555"/>
  <c r="R1555"/>
  <c r="Q1555"/>
  <c r="Q1554" s="1"/>
  <c r="U1554"/>
  <c r="U1553" s="1"/>
  <c r="U1552" s="1"/>
  <c r="T1554"/>
  <c r="T1553" s="1"/>
  <c r="T1552" s="1"/>
  <c r="S1554"/>
  <c r="S1553" s="1"/>
  <c r="S1552" s="1"/>
  <c r="P1554"/>
  <c r="P1553" s="1"/>
  <c r="X1549"/>
  <c r="W1549"/>
  <c r="V1549"/>
  <c r="U1548"/>
  <c r="U1547" s="1"/>
  <c r="T1548"/>
  <c r="S1548"/>
  <c r="S1547" s="1"/>
  <c r="S1546" s="1"/>
  <c r="R1548"/>
  <c r="R1547" s="1"/>
  <c r="R1546" s="1"/>
  <c r="Q1548"/>
  <c r="Q1547" s="1"/>
  <c r="Q1546" s="1"/>
  <c r="P1548"/>
  <c r="X1545"/>
  <c r="W1545"/>
  <c r="V1545"/>
  <c r="U1544"/>
  <c r="U1543" s="1"/>
  <c r="U1542" s="1"/>
  <c r="T1544"/>
  <c r="T1543" s="1"/>
  <c r="T1542" s="1"/>
  <c r="S1544"/>
  <c r="S1543" s="1"/>
  <c r="R1544"/>
  <c r="Q1544"/>
  <c r="P1544"/>
  <c r="X1539"/>
  <c r="W1539"/>
  <c r="V1539"/>
  <c r="U1538"/>
  <c r="U1537" s="1"/>
  <c r="U1536" s="1"/>
  <c r="U1535" s="1"/>
  <c r="U1534" s="1"/>
  <c r="T1538"/>
  <c r="T1537" s="1"/>
  <c r="T1536" s="1"/>
  <c r="T1535" s="1"/>
  <c r="T1534" s="1"/>
  <c r="S1538"/>
  <c r="R1538"/>
  <c r="Q1538"/>
  <c r="P1538"/>
  <c r="P1537" s="1"/>
  <c r="P1536" s="1"/>
  <c r="P1535" s="1"/>
  <c r="X1533"/>
  <c r="W1533"/>
  <c r="V1533"/>
  <c r="U1532"/>
  <c r="T1532"/>
  <c r="S1532"/>
  <c r="R1532"/>
  <c r="Q1532"/>
  <c r="P1532"/>
  <c r="X1531"/>
  <c r="W1531"/>
  <c r="P1531"/>
  <c r="V1531" s="1"/>
  <c r="U1530"/>
  <c r="T1530"/>
  <c r="S1530"/>
  <c r="R1530"/>
  <c r="Q1530"/>
  <c r="X1525"/>
  <c r="W1525"/>
  <c r="V1525"/>
  <c r="U1524"/>
  <c r="U1523" s="1"/>
  <c r="U1522" s="1"/>
  <c r="T1524"/>
  <c r="T1523" s="1"/>
  <c r="T1522" s="1"/>
  <c r="S1524"/>
  <c r="R1524"/>
  <c r="Q1524"/>
  <c r="P1524"/>
  <c r="P1523" s="1"/>
  <c r="V1521"/>
  <c r="R1521"/>
  <c r="X1521" s="1"/>
  <c r="Q1521"/>
  <c r="U1520"/>
  <c r="T1520"/>
  <c r="T1519" s="1"/>
  <c r="T1518" s="1"/>
  <c r="T1517" s="1"/>
  <c r="S1520"/>
  <c r="S1519" s="1"/>
  <c r="S1518" s="1"/>
  <c r="S1517" s="1"/>
  <c r="P1520"/>
  <c r="P1519" s="1"/>
  <c r="U1519"/>
  <c r="U1518" s="1"/>
  <c r="U1517" s="1"/>
  <c r="X1515"/>
  <c r="W1515"/>
  <c r="P1515"/>
  <c r="V1515" s="1"/>
  <c r="U1514"/>
  <c r="T1514"/>
  <c r="S1514"/>
  <c r="R1514"/>
  <c r="Q1514"/>
  <c r="R1513"/>
  <c r="Q1513"/>
  <c r="P1513"/>
  <c r="U1512"/>
  <c r="T1512"/>
  <c r="S1512"/>
  <c r="R1511"/>
  <c r="X1511" s="1"/>
  <c r="Q1511"/>
  <c r="W1511" s="1"/>
  <c r="P1511"/>
  <c r="U1510"/>
  <c r="T1510"/>
  <c r="S1510"/>
  <c r="X1504"/>
  <c r="W1504"/>
  <c r="V1504"/>
  <c r="U1503"/>
  <c r="U1502" s="1"/>
  <c r="T1503"/>
  <c r="T1502" s="1"/>
  <c r="S1503"/>
  <c r="R1503"/>
  <c r="Q1503"/>
  <c r="P1503"/>
  <c r="P1502" s="1"/>
  <c r="R1501"/>
  <c r="X1501" s="1"/>
  <c r="Q1501"/>
  <c r="P1501"/>
  <c r="V1501" s="1"/>
  <c r="U1500"/>
  <c r="U1499" s="1"/>
  <c r="T1500"/>
  <c r="T1499" s="1"/>
  <c r="S1500"/>
  <c r="S1499" s="1"/>
  <c r="X1498"/>
  <c r="W1498"/>
  <c r="V1498"/>
  <c r="U1497"/>
  <c r="T1497"/>
  <c r="T1496" s="1"/>
  <c r="S1497"/>
  <c r="S1496" s="1"/>
  <c r="R1497"/>
  <c r="R1496" s="1"/>
  <c r="Q1497"/>
  <c r="P1497"/>
  <c r="P1496" s="1"/>
  <c r="V1494"/>
  <c r="R1494"/>
  <c r="Q1494"/>
  <c r="W1494" s="1"/>
  <c r="U1493"/>
  <c r="T1493"/>
  <c r="T1492" s="1"/>
  <c r="T1491" s="1"/>
  <c r="S1493"/>
  <c r="S1492" s="1"/>
  <c r="S1491" s="1"/>
  <c r="P1493"/>
  <c r="X1488"/>
  <c r="W1488"/>
  <c r="V1488"/>
  <c r="U1487"/>
  <c r="T1487"/>
  <c r="T1486" s="1"/>
  <c r="T1485" s="1"/>
  <c r="T1484" s="1"/>
  <c r="S1487"/>
  <c r="S1486" s="1"/>
  <c r="S1485" s="1"/>
  <c r="S1484" s="1"/>
  <c r="R1487"/>
  <c r="R1486" s="1"/>
  <c r="R1485" s="1"/>
  <c r="Q1487"/>
  <c r="P1487"/>
  <c r="V1483"/>
  <c r="R1483"/>
  <c r="X1483" s="1"/>
  <c r="Q1483"/>
  <c r="W1483" s="1"/>
  <c r="U1482"/>
  <c r="U1481" s="1"/>
  <c r="U1480" s="1"/>
  <c r="U1479" s="1"/>
  <c r="T1482"/>
  <c r="T1481" s="1"/>
  <c r="T1480" s="1"/>
  <c r="T1479" s="1"/>
  <c r="S1482"/>
  <c r="S1481" s="1"/>
  <c r="S1480" s="1"/>
  <c r="S1479" s="1"/>
  <c r="P1482"/>
  <c r="X1477"/>
  <c r="W1477"/>
  <c r="V1477"/>
  <c r="U1476"/>
  <c r="U1475" s="1"/>
  <c r="U1474" s="1"/>
  <c r="U1473" s="1"/>
  <c r="U1472" s="1"/>
  <c r="T1476"/>
  <c r="T1475" s="1"/>
  <c r="T1474" s="1"/>
  <c r="T1473" s="1"/>
  <c r="T1472" s="1"/>
  <c r="S1476"/>
  <c r="R1476"/>
  <c r="Q1476"/>
  <c r="P1476"/>
  <c r="S1475"/>
  <c r="X1471"/>
  <c r="W1471"/>
  <c r="V1471"/>
  <c r="U1470"/>
  <c r="T1470"/>
  <c r="S1470"/>
  <c r="R1470"/>
  <c r="Q1470"/>
  <c r="P1470"/>
  <c r="X1469"/>
  <c r="W1469"/>
  <c r="P1469"/>
  <c r="P1468" s="1"/>
  <c r="U1468"/>
  <c r="T1468"/>
  <c r="S1468"/>
  <c r="R1468"/>
  <c r="Q1468"/>
  <c r="X1463"/>
  <c r="W1463"/>
  <c r="P1463"/>
  <c r="V1463" s="1"/>
  <c r="U1462"/>
  <c r="T1462"/>
  <c r="S1462"/>
  <c r="R1462"/>
  <c r="Q1462"/>
  <c r="R1461"/>
  <c r="X1461" s="1"/>
  <c r="Q1461"/>
  <c r="P1461"/>
  <c r="V1461" s="1"/>
  <c r="U1460"/>
  <c r="T1460"/>
  <c r="S1460"/>
  <c r="R1459"/>
  <c r="X1459" s="1"/>
  <c r="Q1459"/>
  <c r="W1459" s="1"/>
  <c r="P1459"/>
  <c r="U1458"/>
  <c r="T1458"/>
  <c r="S1458"/>
  <c r="R1452"/>
  <c r="Q1452"/>
  <c r="P1452"/>
  <c r="U1451"/>
  <c r="U1450" s="1"/>
  <c r="T1451"/>
  <c r="T1450" s="1"/>
  <c r="S1451"/>
  <c r="S1450" s="1"/>
  <c r="X1449"/>
  <c r="W1449"/>
  <c r="V1449"/>
  <c r="U1448"/>
  <c r="U1447" s="1"/>
  <c r="T1448"/>
  <c r="T1447" s="1"/>
  <c r="S1448"/>
  <c r="R1448"/>
  <c r="Q1448"/>
  <c r="P1448"/>
  <c r="P1447" s="1"/>
  <c r="V1445"/>
  <c r="R1445"/>
  <c r="Q1445"/>
  <c r="W1445" s="1"/>
  <c r="U1444"/>
  <c r="U1443" s="1"/>
  <c r="U1442" s="1"/>
  <c r="T1444"/>
  <c r="T1443" s="1"/>
  <c r="S1444"/>
  <c r="S1443" s="1"/>
  <c r="S1442" s="1"/>
  <c r="P1444"/>
  <c r="P1443" s="1"/>
  <c r="P1442" s="1"/>
  <c r="X1439"/>
  <c r="W1439"/>
  <c r="V1439"/>
  <c r="U1438"/>
  <c r="U1437" s="1"/>
  <c r="U1436" s="1"/>
  <c r="U1435" s="1"/>
  <c r="T1438"/>
  <c r="T1437" s="1"/>
  <c r="T1436" s="1"/>
  <c r="T1435" s="1"/>
  <c r="S1438"/>
  <c r="S1437" s="1"/>
  <c r="S1436" s="1"/>
  <c r="S1435" s="1"/>
  <c r="R1438"/>
  <c r="Q1438"/>
  <c r="Q1437" s="1"/>
  <c r="Q1436" s="1"/>
  <c r="Q1435" s="1"/>
  <c r="P1438"/>
  <c r="V1434"/>
  <c r="R1434"/>
  <c r="R1433" s="1"/>
  <c r="Q1434"/>
  <c r="W1434" s="1"/>
  <c r="U1433"/>
  <c r="U1432" s="1"/>
  <c r="U1431" s="1"/>
  <c r="U1430" s="1"/>
  <c r="T1433"/>
  <c r="S1433"/>
  <c r="S1432" s="1"/>
  <c r="S1431" s="1"/>
  <c r="S1430" s="1"/>
  <c r="Q1433"/>
  <c r="Q1432" s="1"/>
  <c r="P1433"/>
  <c r="V1428"/>
  <c r="R1428"/>
  <c r="Q1428"/>
  <c r="W1428" s="1"/>
  <c r="U1427"/>
  <c r="U1426" s="1"/>
  <c r="T1427"/>
  <c r="T1426" s="1"/>
  <c r="S1427"/>
  <c r="S1426" s="1"/>
  <c r="P1427"/>
  <c r="P1426" s="1"/>
  <c r="X1425"/>
  <c r="W1425"/>
  <c r="P1425"/>
  <c r="V1425" s="1"/>
  <c r="U1424"/>
  <c r="T1424"/>
  <c r="T1423" s="1"/>
  <c r="S1424"/>
  <c r="S1423" s="1"/>
  <c r="R1424"/>
  <c r="R1423" s="1"/>
  <c r="Q1424"/>
  <c r="Q1423" s="1"/>
  <c r="X1419"/>
  <c r="W1419"/>
  <c r="V1419"/>
  <c r="U1418"/>
  <c r="T1418"/>
  <c r="S1418"/>
  <c r="R1418"/>
  <c r="Q1418"/>
  <c r="P1418"/>
  <c r="X1417"/>
  <c r="W1417"/>
  <c r="P1417"/>
  <c r="V1417" s="1"/>
  <c r="U1416"/>
  <c r="T1416"/>
  <c r="S1416"/>
  <c r="S1415" s="1"/>
  <c r="S1414" s="1"/>
  <c r="S1413" s="1"/>
  <c r="S1412" s="1"/>
  <c r="R1416"/>
  <c r="Q1416"/>
  <c r="V1411"/>
  <c r="R1411"/>
  <c r="Q1411"/>
  <c r="W1411" s="1"/>
  <c r="U1410"/>
  <c r="U1409" s="1"/>
  <c r="U1408" s="1"/>
  <c r="U1407" s="1"/>
  <c r="U1406" s="1"/>
  <c r="T1410"/>
  <c r="T1409" s="1"/>
  <c r="T1408" s="1"/>
  <c r="T1407" s="1"/>
  <c r="T1406" s="1"/>
  <c r="S1410"/>
  <c r="P1410"/>
  <c r="P1409" s="1"/>
  <c r="X1405"/>
  <c r="W1405"/>
  <c r="P1405"/>
  <c r="U1404"/>
  <c r="T1404"/>
  <c r="S1404"/>
  <c r="R1404"/>
  <c r="Q1404"/>
  <c r="X1403"/>
  <c r="W1403"/>
  <c r="V1403"/>
  <c r="U1402"/>
  <c r="T1402"/>
  <c r="S1402"/>
  <c r="R1402"/>
  <c r="Q1402"/>
  <c r="P1402"/>
  <c r="R1401"/>
  <c r="Q1401"/>
  <c r="Q1400" s="1"/>
  <c r="P1401"/>
  <c r="P1400" s="1"/>
  <c r="U1400"/>
  <c r="T1400"/>
  <c r="S1400"/>
  <c r="V1394"/>
  <c r="R1394"/>
  <c r="X1394" s="1"/>
  <c r="Q1394"/>
  <c r="P1394"/>
  <c r="U1393"/>
  <c r="U1392" s="1"/>
  <c r="T1393"/>
  <c r="T1392" s="1"/>
  <c r="S1393"/>
  <c r="S1392" s="1"/>
  <c r="P1393"/>
  <c r="X1391"/>
  <c r="W1391"/>
  <c r="V1391"/>
  <c r="U1390"/>
  <c r="U1389" s="1"/>
  <c r="T1390"/>
  <c r="T1389" s="1"/>
  <c r="S1390"/>
  <c r="S1389" s="1"/>
  <c r="R1390"/>
  <c r="R1389" s="1"/>
  <c r="Q1390"/>
  <c r="P1390"/>
  <c r="V1387"/>
  <c r="R1387"/>
  <c r="Q1387"/>
  <c r="U1386"/>
  <c r="U1385" s="1"/>
  <c r="U1384" s="1"/>
  <c r="T1386"/>
  <c r="T1385" s="1"/>
  <c r="T1384" s="1"/>
  <c r="S1386"/>
  <c r="S1385" s="1"/>
  <c r="S1384" s="1"/>
  <c r="P1386"/>
  <c r="X1382"/>
  <c r="W1382"/>
  <c r="V1382"/>
  <c r="U1381"/>
  <c r="U1380" s="1"/>
  <c r="U1379" s="1"/>
  <c r="T1381"/>
  <c r="T1380" s="1"/>
  <c r="T1379" s="1"/>
  <c r="S1381"/>
  <c r="S1380" s="1"/>
  <c r="S1379" s="1"/>
  <c r="R1381"/>
  <c r="R1380" s="1"/>
  <c r="Q1381"/>
  <c r="Q1380" s="1"/>
  <c r="P1381"/>
  <c r="V1378"/>
  <c r="R1378"/>
  <c r="R1377" s="1"/>
  <c r="R1376" s="1"/>
  <c r="R1375" s="1"/>
  <c r="Q1378"/>
  <c r="W1378" s="1"/>
  <c r="U1377"/>
  <c r="U1376" s="1"/>
  <c r="U1375" s="1"/>
  <c r="T1377"/>
  <c r="T1376" s="1"/>
  <c r="T1375" s="1"/>
  <c r="S1377"/>
  <c r="S1376" s="1"/>
  <c r="S1375" s="1"/>
  <c r="P1377"/>
  <c r="X1372"/>
  <c r="W1372"/>
  <c r="V1372"/>
  <c r="U1371"/>
  <c r="U1370" s="1"/>
  <c r="U1369" s="1"/>
  <c r="U1368" s="1"/>
  <c r="T1371"/>
  <c r="T1370" s="1"/>
  <c r="T1369" s="1"/>
  <c r="T1368" s="1"/>
  <c r="S1371"/>
  <c r="S1370" s="1"/>
  <c r="S1369" s="1"/>
  <c r="S1368" s="1"/>
  <c r="R1371"/>
  <c r="R1370" s="1"/>
  <c r="Q1371"/>
  <c r="Q1370" s="1"/>
  <c r="P1371"/>
  <c r="V1367"/>
  <c r="R1367"/>
  <c r="X1367" s="1"/>
  <c r="Q1367"/>
  <c r="U1366"/>
  <c r="U1365" s="1"/>
  <c r="U1364" s="1"/>
  <c r="U1363" s="1"/>
  <c r="T1366"/>
  <c r="T1365" s="1"/>
  <c r="T1364" s="1"/>
  <c r="T1363" s="1"/>
  <c r="S1366"/>
  <c r="S1365" s="1"/>
  <c r="S1364" s="1"/>
  <c r="S1363" s="1"/>
  <c r="P1366"/>
  <c r="P1365" s="1"/>
  <c r="X1361"/>
  <c r="W1361"/>
  <c r="P1361"/>
  <c r="U1360"/>
  <c r="U1359" s="1"/>
  <c r="U1358" s="1"/>
  <c r="U1357" s="1"/>
  <c r="U1356" s="1"/>
  <c r="T1360"/>
  <c r="S1360"/>
  <c r="S1359" s="1"/>
  <c r="S1358" s="1"/>
  <c r="S1357" s="1"/>
  <c r="S1356" s="1"/>
  <c r="R1360"/>
  <c r="Q1360"/>
  <c r="Q1359" s="1"/>
  <c r="Q1358" s="1"/>
  <c r="Q1357" s="1"/>
  <c r="X1355"/>
  <c r="W1355"/>
  <c r="V1355"/>
  <c r="U1354"/>
  <c r="T1354"/>
  <c r="S1354"/>
  <c r="R1354"/>
  <c r="Q1354"/>
  <c r="P1354"/>
  <c r="X1353"/>
  <c r="W1353"/>
  <c r="P1353"/>
  <c r="U1352"/>
  <c r="T1352"/>
  <c r="S1352"/>
  <c r="R1352"/>
  <c r="Q1352"/>
  <c r="V1347"/>
  <c r="R1347"/>
  <c r="X1347" s="1"/>
  <c r="Q1347"/>
  <c r="U1346"/>
  <c r="U1345" s="1"/>
  <c r="U1344" s="1"/>
  <c r="U1343" s="1"/>
  <c r="U1342" s="1"/>
  <c r="T1346"/>
  <c r="T1345" s="1"/>
  <c r="T1344" s="1"/>
  <c r="T1343" s="1"/>
  <c r="T1342" s="1"/>
  <c r="S1346"/>
  <c r="S1345" s="1"/>
  <c r="P1346"/>
  <c r="X1341"/>
  <c r="W1341"/>
  <c r="P1341"/>
  <c r="V1341" s="1"/>
  <c r="U1340"/>
  <c r="T1340"/>
  <c r="S1340"/>
  <c r="R1340"/>
  <c r="Q1340"/>
  <c r="P1340"/>
  <c r="R1339"/>
  <c r="X1339" s="1"/>
  <c r="Q1339"/>
  <c r="Q1338" s="1"/>
  <c r="P1339"/>
  <c r="U1338"/>
  <c r="T1338"/>
  <c r="S1338"/>
  <c r="R1337"/>
  <c r="Q1337"/>
  <c r="Q1336" s="1"/>
  <c r="P1337"/>
  <c r="U1336"/>
  <c r="T1336"/>
  <c r="S1336"/>
  <c r="R1330"/>
  <c r="Q1330"/>
  <c r="Q1329" s="1"/>
  <c r="Q1328" s="1"/>
  <c r="P1330"/>
  <c r="U1329"/>
  <c r="U1328" s="1"/>
  <c r="T1329"/>
  <c r="T1328" s="1"/>
  <c r="S1329"/>
  <c r="S1328" s="1"/>
  <c r="X1327"/>
  <c r="W1327"/>
  <c r="V1327"/>
  <c r="U1326"/>
  <c r="U1325" s="1"/>
  <c r="T1326"/>
  <c r="T1325" s="1"/>
  <c r="S1326"/>
  <c r="S1325" s="1"/>
  <c r="R1326"/>
  <c r="R1325" s="1"/>
  <c r="Q1326"/>
  <c r="P1326"/>
  <c r="P1325" s="1"/>
  <c r="V1323"/>
  <c r="R1323"/>
  <c r="Q1323"/>
  <c r="U1322"/>
  <c r="U1321" s="1"/>
  <c r="U1320" s="1"/>
  <c r="T1322"/>
  <c r="T1321" s="1"/>
  <c r="T1320" s="1"/>
  <c r="S1322"/>
  <c r="S1321" s="1"/>
  <c r="S1320" s="1"/>
  <c r="P1322"/>
  <c r="P1321" s="1"/>
  <c r="V1318"/>
  <c r="R1318"/>
  <c r="X1318" s="1"/>
  <c r="Q1318"/>
  <c r="U1317"/>
  <c r="U1316" s="1"/>
  <c r="U1315" s="1"/>
  <c r="U1314" s="1"/>
  <c r="T1317"/>
  <c r="T1316" s="1"/>
  <c r="T1315" s="1"/>
  <c r="T1314" s="1"/>
  <c r="S1317"/>
  <c r="S1316" s="1"/>
  <c r="S1315" s="1"/>
  <c r="S1314" s="1"/>
  <c r="P1317"/>
  <c r="X1312"/>
  <c r="W1312"/>
  <c r="V1312"/>
  <c r="U1311"/>
  <c r="U1310" s="1"/>
  <c r="U1309" s="1"/>
  <c r="U1308" s="1"/>
  <c r="T1311"/>
  <c r="T1310" s="1"/>
  <c r="T1309" s="1"/>
  <c r="T1308" s="1"/>
  <c r="S1311"/>
  <c r="S1310" s="1"/>
  <c r="S1309" s="1"/>
  <c r="S1308" s="1"/>
  <c r="R1311"/>
  <c r="Q1311"/>
  <c r="P1311"/>
  <c r="V1307"/>
  <c r="R1307"/>
  <c r="Q1307"/>
  <c r="U1306"/>
  <c r="U1305" s="1"/>
  <c r="U1304" s="1"/>
  <c r="U1303" s="1"/>
  <c r="T1306"/>
  <c r="T1305" s="1"/>
  <c r="T1304" s="1"/>
  <c r="T1303" s="1"/>
  <c r="S1306"/>
  <c r="S1305" s="1"/>
  <c r="S1304" s="1"/>
  <c r="S1303" s="1"/>
  <c r="P1306"/>
  <c r="P1305" s="1"/>
  <c r="X1301"/>
  <c r="W1301"/>
  <c r="P1301"/>
  <c r="V1301" s="1"/>
  <c r="U1300"/>
  <c r="U1299" s="1"/>
  <c r="U1298" s="1"/>
  <c r="U1297" s="1"/>
  <c r="U1296" s="1"/>
  <c r="T1300"/>
  <c r="T1299" s="1"/>
  <c r="T1298" s="1"/>
  <c r="T1297" s="1"/>
  <c r="T1296" s="1"/>
  <c r="S1300"/>
  <c r="S1299" s="1"/>
  <c r="S1298" s="1"/>
  <c r="S1297" s="1"/>
  <c r="S1296" s="1"/>
  <c r="R1300"/>
  <c r="R1299" s="1"/>
  <c r="Q1300"/>
  <c r="Q1299" s="1"/>
  <c r="X1295"/>
  <c r="W1295"/>
  <c r="V1295"/>
  <c r="U1294"/>
  <c r="T1294"/>
  <c r="S1294"/>
  <c r="R1294"/>
  <c r="Q1294"/>
  <c r="P1294"/>
  <c r="X1293"/>
  <c r="W1293"/>
  <c r="P1293"/>
  <c r="P1292" s="1"/>
  <c r="U1292"/>
  <c r="T1292"/>
  <c r="S1292"/>
  <c r="R1292"/>
  <c r="Q1292"/>
  <c r="V1287"/>
  <c r="R1287"/>
  <c r="X1287" s="1"/>
  <c r="Q1287"/>
  <c r="W1287" s="1"/>
  <c r="U1286"/>
  <c r="U1285" s="1"/>
  <c r="U1284" s="1"/>
  <c r="T1286"/>
  <c r="S1286"/>
  <c r="S1285" s="1"/>
  <c r="S1284" s="1"/>
  <c r="P1286"/>
  <c r="T1285"/>
  <c r="T1284" s="1"/>
  <c r="V1283"/>
  <c r="R1283"/>
  <c r="Q1283"/>
  <c r="U1282"/>
  <c r="U1281" s="1"/>
  <c r="U1280" s="1"/>
  <c r="U1279" s="1"/>
  <c r="T1282"/>
  <c r="T1281" s="1"/>
  <c r="T1280" s="1"/>
  <c r="T1279" s="1"/>
  <c r="S1282"/>
  <c r="S1281" s="1"/>
  <c r="S1280" s="1"/>
  <c r="S1279" s="1"/>
  <c r="P1282"/>
  <c r="P1281" s="1"/>
  <c r="X1277"/>
  <c r="Q1277"/>
  <c r="P1277"/>
  <c r="U1276"/>
  <c r="T1276"/>
  <c r="S1276"/>
  <c r="R1276"/>
  <c r="R1275"/>
  <c r="X1275" s="1"/>
  <c r="Q1275"/>
  <c r="W1275" s="1"/>
  <c r="P1275"/>
  <c r="U1274"/>
  <c r="T1274"/>
  <c r="S1274"/>
  <c r="R1273"/>
  <c r="Q1273"/>
  <c r="W1273" s="1"/>
  <c r="P1273"/>
  <c r="V1273" s="1"/>
  <c r="U1272"/>
  <c r="T1272"/>
  <c r="S1272"/>
  <c r="P1272"/>
  <c r="R1266"/>
  <c r="Q1266"/>
  <c r="W1266" s="1"/>
  <c r="P1266"/>
  <c r="V1266" s="1"/>
  <c r="U1265"/>
  <c r="U1264" s="1"/>
  <c r="T1265"/>
  <c r="S1265"/>
  <c r="S1264" s="1"/>
  <c r="X1263"/>
  <c r="W1263"/>
  <c r="V1263"/>
  <c r="U1262"/>
  <c r="U1261" s="1"/>
  <c r="T1262"/>
  <c r="T1261" s="1"/>
  <c r="S1262"/>
  <c r="S1261" s="1"/>
  <c r="R1262"/>
  <c r="Q1262"/>
  <c r="Q1261" s="1"/>
  <c r="P1262"/>
  <c r="X1257"/>
  <c r="W1257"/>
  <c r="V1257"/>
  <c r="U1256"/>
  <c r="U1255" s="1"/>
  <c r="U1254" s="1"/>
  <c r="U1253" s="1"/>
  <c r="T1256"/>
  <c r="T1255" s="1"/>
  <c r="T1254" s="1"/>
  <c r="T1253" s="1"/>
  <c r="S1256"/>
  <c r="S1255" s="1"/>
  <c r="S1254" s="1"/>
  <c r="S1253" s="1"/>
  <c r="R1256"/>
  <c r="R1255" s="1"/>
  <c r="Q1256"/>
  <c r="Q1255" s="1"/>
  <c r="P1256"/>
  <c r="V1252"/>
  <c r="R1252"/>
  <c r="X1252" s="1"/>
  <c r="Q1252"/>
  <c r="W1252" s="1"/>
  <c r="U1251"/>
  <c r="T1251"/>
  <c r="T1250" s="1"/>
  <c r="T1249" s="1"/>
  <c r="T1248" s="1"/>
  <c r="S1251"/>
  <c r="S1250" s="1"/>
  <c r="S1249" s="1"/>
  <c r="S1248" s="1"/>
  <c r="P1251"/>
  <c r="X1246"/>
  <c r="W1246"/>
  <c r="V1246"/>
  <c r="U1245"/>
  <c r="T1245"/>
  <c r="T1244" s="1"/>
  <c r="T1243" s="1"/>
  <c r="T1242" s="1"/>
  <c r="T1241" s="1"/>
  <c r="S1245"/>
  <c r="S1244" s="1"/>
  <c r="S1243" s="1"/>
  <c r="S1242" s="1"/>
  <c r="S1241" s="1"/>
  <c r="R1245"/>
  <c r="R1244" s="1"/>
  <c r="R1243" s="1"/>
  <c r="Q1245"/>
  <c r="Q1244" s="1"/>
  <c r="P1245"/>
  <c r="X1240"/>
  <c r="W1240"/>
  <c r="V1240"/>
  <c r="U1239"/>
  <c r="T1239"/>
  <c r="S1239"/>
  <c r="R1239"/>
  <c r="Q1239"/>
  <c r="P1239"/>
  <c r="X1238"/>
  <c r="W1238"/>
  <c r="P1238"/>
  <c r="U1237"/>
  <c r="T1237"/>
  <c r="S1237"/>
  <c r="R1237"/>
  <c r="Q1237"/>
  <c r="V1232"/>
  <c r="R1232"/>
  <c r="X1232" s="1"/>
  <c r="Q1232"/>
  <c r="U1231"/>
  <c r="U1230" s="1"/>
  <c r="U1229" s="1"/>
  <c r="U1228" s="1"/>
  <c r="U1227" s="1"/>
  <c r="T1231"/>
  <c r="S1231"/>
  <c r="S1230" s="1"/>
  <c r="S1229" s="1"/>
  <c r="S1228" s="1"/>
  <c r="S1227" s="1"/>
  <c r="P1231"/>
  <c r="X1226"/>
  <c r="W1226"/>
  <c r="P1226"/>
  <c r="U1225"/>
  <c r="T1225"/>
  <c r="S1225"/>
  <c r="R1225"/>
  <c r="Q1225"/>
  <c r="R1224"/>
  <c r="Q1224"/>
  <c r="W1224" s="1"/>
  <c r="P1224"/>
  <c r="V1224" s="1"/>
  <c r="U1223"/>
  <c r="T1223"/>
  <c r="S1223"/>
  <c r="P1223"/>
  <c r="R1222"/>
  <c r="X1222" s="1"/>
  <c r="Q1222"/>
  <c r="P1222"/>
  <c r="V1222" s="1"/>
  <c r="U1221"/>
  <c r="T1221"/>
  <c r="S1221"/>
  <c r="X1215"/>
  <c r="W1215"/>
  <c r="V1215"/>
  <c r="U1214"/>
  <c r="T1214"/>
  <c r="T1213" s="1"/>
  <c r="S1214"/>
  <c r="S1213" s="1"/>
  <c r="R1214"/>
  <c r="R1213" s="1"/>
  <c r="Q1214"/>
  <c r="P1214"/>
  <c r="P1213" s="1"/>
  <c r="R1212"/>
  <c r="Q1212"/>
  <c r="W1212" s="1"/>
  <c r="P1212"/>
  <c r="V1212" s="1"/>
  <c r="U1211"/>
  <c r="U1210" s="1"/>
  <c r="T1211"/>
  <c r="T1210" s="1"/>
  <c r="S1211"/>
  <c r="S1210" s="1"/>
  <c r="P1211"/>
  <c r="P1210" s="1"/>
  <c r="X1209"/>
  <c r="W1209"/>
  <c r="V1209"/>
  <c r="U1208"/>
  <c r="T1208"/>
  <c r="T1207" s="1"/>
  <c r="S1208"/>
  <c r="S1207" s="1"/>
  <c r="R1208"/>
  <c r="R1207" s="1"/>
  <c r="Q1208"/>
  <c r="Q1207" s="1"/>
  <c r="P1208"/>
  <c r="X1205"/>
  <c r="W1205"/>
  <c r="V1205"/>
  <c r="U1204"/>
  <c r="U1203" s="1"/>
  <c r="T1204"/>
  <c r="T1203" s="1"/>
  <c r="S1204"/>
  <c r="R1204"/>
  <c r="Q1204"/>
  <c r="P1204"/>
  <c r="P1203" s="1"/>
  <c r="V1202"/>
  <c r="R1202"/>
  <c r="X1202" s="1"/>
  <c r="Q1202"/>
  <c r="Q705" s="1"/>
  <c r="U1201"/>
  <c r="U1200" s="1"/>
  <c r="T1201"/>
  <c r="T1200" s="1"/>
  <c r="S1201"/>
  <c r="S1200" s="1"/>
  <c r="P1201"/>
  <c r="P1200" s="1"/>
  <c r="X1197"/>
  <c r="W1197"/>
  <c r="V1197"/>
  <c r="U1196"/>
  <c r="T1196"/>
  <c r="T1195" s="1"/>
  <c r="T1194" s="1"/>
  <c r="T1193" s="1"/>
  <c r="S1196"/>
  <c r="S1195" s="1"/>
  <c r="S1194" s="1"/>
  <c r="S1193" s="1"/>
  <c r="R1196"/>
  <c r="R1195" s="1"/>
  <c r="R1194" s="1"/>
  <c r="Q1196"/>
  <c r="Q1195" s="1"/>
  <c r="P1196"/>
  <c r="X1192"/>
  <c r="W1192"/>
  <c r="V1192"/>
  <c r="U1191"/>
  <c r="U1190" s="1"/>
  <c r="U1189" s="1"/>
  <c r="U1188" s="1"/>
  <c r="T1191"/>
  <c r="S1191"/>
  <c r="S1190" s="1"/>
  <c r="S1189" s="1"/>
  <c r="S1188" s="1"/>
  <c r="R1191"/>
  <c r="R1190" s="1"/>
  <c r="R1189" s="1"/>
  <c r="R1188" s="1"/>
  <c r="Q1191"/>
  <c r="Q1190" s="1"/>
  <c r="Q1189" s="1"/>
  <c r="P1191"/>
  <c r="P1190" s="1"/>
  <c r="X1186"/>
  <c r="W1186"/>
  <c r="V1186"/>
  <c r="U1185"/>
  <c r="T1185"/>
  <c r="S1185"/>
  <c r="R1185"/>
  <c r="Q1185"/>
  <c r="P1185"/>
  <c r="X1184"/>
  <c r="W1184"/>
  <c r="V1184"/>
  <c r="U1183"/>
  <c r="T1183"/>
  <c r="S1183"/>
  <c r="R1183"/>
  <c r="Q1183"/>
  <c r="P1183"/>
  <c r="X1178"/>
  <c r="W1178"/>
  <c r="V1178"/>
  <c r="U1177"/>
  <c r="U1176" s="1"/>
  <c r="U1175" s="1"/>
  <c r="U1174" s="1"/>
  <c r="U1173" s="1"/>
  <c r="T1177"/>
  <c r="S1177"/>
  <c r="S1176" s="1"/>
  <c r="S1175" s="1"/>
  <c r="S1174" s="1"/>
  <c r="S1173" s="1"/>
  <c r="R1177"/>
  <c r="R1176" s="1"/>
  <c r="Q1177"/>
  <c r="Q1176" s="1"/>
  <c r="P1177"/>
  <c r="X1172"/>
  <c r="W1172"/>
  <c r="V1172"/>
  <c r="U1171"/>
  <c r="T1171"/>
  <c r="S1171"/>
  <c r="R1171"/>
  <c r="Q1171"/>
  <c r="P1171"/>
  <c r="X1170"/>
  <c r="W1170"/>
  <c r="P1170"/>
  <c r="U1169"/>
  <c r="T1169"/>
  <c r="S1169"/>
  <c r="R1169"/>
  <c r="Q1169"/>
  <c r="V1164"/>
  <c r="R1164"/>
  <c r="X1164" s="1"/>
  <c r="Q1164"/>
  <c r="W1164" s="1"/>
  <c r="U1163"/>
  <c r="U1162" s="1"/>
  <c r="U1161" s="1"/>
  <c r="U1160" s="1"/>
  <c r="U1159" s="1"/>
  <c r="T1163"/>
  <c r="T1162" s="1"/>
  <c r="T1161" s="1"/>
  <c r="T1160" s="1"/>
  <c r="T1159" s="1"/>
  <c r="S1163"/>
  <c r="S1162" s="1"/>
  <c r="S1161" s="1"/>
  <c r="S1160" s="1"/>
  <c r="S1159" s="1"/>
  <c r="P1163"/>
  <c r="P1162" s="1"/>
  <c r="P1161" s="1"/>
  <c r="X1158"/>
  <c r="W1158"/>
  <c r="V1158"/>
  <c r="U1157"/>
  <c r="T1157"/>
  <c r="S1157"/>
  <c r="R1157"/>
  <c r="Q1157"/>
  <c r="P1157"/>
  <c r="R1156"/>
  <c r="X1156" s="1"/>
  <c r="Q1156"/>
  <c r="W1156" s="1"/>
  <c r="P1156"/>
  <c r="U1155"/>
  <c r="T1155"/>
  <c r="S1155"/>
  <c r="R1155"/>
  <c r="R1154"/>
  <c r="X1154" s="1"/>
  <c r="Q1154"/>
  <c r="W1154" s="1"/>
  <c r="P1154"/>
  <c r="U1153"/>
  <c r="T1153"/>
  <c r="S1153"/>
  <c r="X1147"/>
  <c r="W1147"/>
  <c r="V1147"/>
  <c r="U1146"/>
  <c r="U1145" s="1"/>
  <c r="U1144" s="1"/>
  <c r="U1143" s="1"/>
  <c r="U1142" s="1"/>
  <c r="U1141" s="1"/>
  <c r="T1146"/>
  <c r="T1145" s="1"/>
  <c r="T1144" s="1"/>
  <c r="T1143" s="1"/>
  <c r="T1142" s="1"/>
  <c r="T1141" s="1"/>
  <c r="S1146"/>
  <c r="S1145" s="1"/>
  <c r="S1144" s="1"/>
  <c r="S1143" s="1"/>
  <c r="S1142" s="1"/>
  <c r="S1141" s="1"/>
  <c r="R1146"/>
  <c r="R1145" s="1"/>
  <c r="Q1146"/>
  <c r="P1146"/>
  <c r="P1145" s="1"/>
  <c r="P1144" s="1"/>
  <c r="X1140"/>
  <c r="W1140"/>
  <c r="V1140"/>
  <c r="U1139"/>
  <c r="U1138" s="1"/>
  <c r="U1137" s="1"/>
  <c r="U1136" s="1"/>
  <c r="T1139"/>
  <c r="S1139"/>
  <c r="S1138" s="1"/>
  <c r="S1137" s="1"/>
  <c r="S1136" s="1"/>
  <c r="R1139"/>
  <c r="Q1139"/>
  <c r="Q1138" s="1"/>
  <c r="Q1137" s="1"/>
  <c r="P1139"/>
  <c r="P1138" s="1"/>
  <c r="P1137" s="1"/>
  <c r="X1135"/>
  <c r="W1135"/>
  <c r="V1135"/>
  <c r="U1134"/>
  <c r="U1133" s="1"/>
  <c r="T1134"/>
  <c r="T1133" s="1"/>
  <c r="S1134"/>
  <c r="S1133" s="1"/>
  <c r="R1134"/>
  <c r="R1133" s="1"/>
  <c r="Q1134"/>
  <c r="P1134"/>
  <c r="X1132"/>
  <c r="W1132"/>
  <c r="V1132"/>
  <c r="U1131"/>
  <c r="T1131"/>
  <c r="S1131"/>
  <c r="R1131"/>
  <c r="Q1131"/>
  <c r="P1131"/>
  <c r="X1130"/>
  <c r="W1130"/>
  <c r="V1130"/>
  <c r="U1129"/>
  <c r="T1129"/>
  <c r="S1129"/>
  <c r="R1129"/>
  <c r="Q1129"/>
  <c r="P1129"/>
  <c r="X1127"/>
  <c r="W1127"/>
  <c r="V1127"/>
  <c r="U1126"/>
  <c r="T1126"/>
  <c r="T1125" s="1"/>
  <c r="S1126"/>
  <c r="S1125" s="1"/>
  <c r="R1126"/>
  <c r="R1125" s="1"/>
  <c r="Q1126"/>
  <c r="P1126"/>
  <c r="P1125" s="1"/>
  <c r="X1124"/>
  <c r="W1124"/>
  <c r="V1124"/>
  <c r="U1123"/>
  <c r="T1123"/>
  <c r="T1122" s="1"/>
  <c r="S1123"/>
  <c r="S1122" s="1"/>
  <c r="R1123"/>
  <c r="R1122" s="1"/>
  <c r="Q1123"/>
  <c r="P1123"/>
  <c r="X1121"/>
  <c r="W1121"/>
  <c r="V1121"/>
  <c r="U1120"/>
  <c r="U1119" s="1"/>
  <c r="T1120"/>
  <c r="T1119" s="1"/>
  <c r="S1120"/>
  <c r="S1119" s="1"/>
  <c r="R1120"/>
  <c r="R1119" s="1"/>
  <c r="Q1120"/>
  <c r="P1120"/>
  <c r="P1119" s="1"/>
  <c r="X1117"/>
  <c r="W1117"/>
  <c r="V1117"/>
  <c r="U1116"/>
  <c r="U1115" s="1"/>
  <c r="T1116"/>
  <c r="S1116"/>
  <c r="S1115" s="1"/>
  <c r="R1116"/>
  <c r="R1115" s="1"/>
  <c r="Q1116"/>
  <c r="Q1115" s="1"/>
  <c r="P1116"/>
  <c r="P1115" s="1"/>
  <c r="X1114"/>
  <c r="W1114"/>
  <c r="V1114"/>
  <c r="U1113"/>
  <c r="U1112" s="1"/>
  <c r="T1113"/>
  <c r="T1112" s="1"/>
  <c r="S1113"/>
  <c r="S1112" s="1"/>
  <c r="R1113"/>
  <c r="R1112" s="1"/>
  <c r="Q1113"/>
  <c r="P1113"/>
  <c r="X1109"/>
  <c r="W1109"/>
  <c r="V1109"/>
  <c r="U1108"/>
  <c r="U1107" s="1"/>
  <c r="U1106" s="1"/>
  <c r="T1108"/>
  <c r="S1108"/>
  <c r="S1107" s="1"/>
  <c r="S1106" s="1"/>
  <c r="R1108"/>
  <c r="R1107" s="1"/>
  <c r="Q1108"/>
  <c r="Q1107" s="1"/>
  <c r="Q1106" s="1"/>
  <c r="P1108"/>
  <c r="P1107" s="1"/>
  <c r="X1104"/>
  <c r="W1104"/>
  <c r="V1104"/>
  <c r="U1103"/>
  <c r="T1103"/>
  <c r="S1103"/>
  <c r="R1103"/>
  <c r="Q1103"/>
  <c r="P1103"/>
  <c r="X1102"/>
  <c r="W1102"/>
  <c r="V1102"/>
  <c r="U1101"/>
  <c r="T1101"/>
  <c r="S1101"/>
  <c r="R1101"/>
  <c r="Q1101"/>
  <c r="P1101"/>
  <c r="X1096"/>
  <c r="W1096"/>
  <c r="V1096"/>
  <c r="U1095"/>
  <c r="U1094" s="1"/>
  <c r="U1093" s="1"/>
  <c r="T1095"/>
  <c r="T1094" s="1"/>
  <c r="T1093" s="1"/>
  <c r="S1095"/>
  <c r="S1094" s="1"/>
  <c r="S1093" s="1"/>
  <c r="R1095"/>
  <c r="Q1095"/>
  <c r="Q1094" s="1"/>
  <c r="P1095"/>
  <c r="X1092"/>
  <c r="W1092"/>
  <c r="V1092"/>
  <c r="U1091"/>
  <c r="U1090" s="1"/>
  <c r="U1089" s="1"/>
  <c r="U1088" s="1"/>
  <c r="T1091"/>
  <c r="T1090" s="1"/>
  <c r="T1089" s="1"/>
  <c r="T1088" s="1"/>
  <c r="S1091"/>
  <c r="S1090" s="1"/>
  <c r="S1089" s="1"/>
  <c r="S1088" s="1"/>
  <c r="R1091"/>
  <c r="R1090" s="1"/>
  <c r="R1089" s="1"/>
  <c r="Q1091"/>
  <c r="Q1090" s="1"/>
  <c r="P1091"/>
  <c r="X1085"/>
  <c r="W1085"/>
  <c r="S1085"/>
  <c r="V1085" s="1"/>
  <c r="U1084"/>
  <c r="U1083" s="1"/>
  <c r="T1084"/>
  <c r="T1083" s="1"/>
  <c r="R1084"/>
  <c r="Q1084"/>
  <c r="P1084"/>
  <c r="P1083" s="1"/>
  <c r="X1082"/>
  <c r="W1082"/>
  <c r="V1082"/>
  <c r="U1081"/>
  <c r="T1081"/>
  <c r="T1080" s="1"/>
  <c r="S1081"/>
  <c r="S1080" s="1"/>
  <c r="R1081"/>
  <c r="R1080" s="1"/>
  <c r="Q1081"/>
  <c r="P1081"/>
  <c r="P1080" s="1"/>
  <c r="X1075"/>
  <c r="W1075"/>
  <c r="V1075"/>
  <c r="U1074"/>
  <c r="U1073" s="1"/>
  <c r="T1074"/>
  <c r="T1073" s="1"/>
  <c r="S1074"/>
  <c r="S1073" s="1"/>
  <c r="R1074"/>
  <c r="Q1074"/>
  <c r="Q1073" s="1"/>
  <c r="P1074"/>
  <c r="X1072"/>
  <c r="W1072"/>
  <c r="V1072"/>
  <c r="U1071"/>
  <c r="T1071"/>
  <c r="T1070" s="1"/>
  <c r="S1071"/>
  <c r="S1070" s="1"/>
  <c r="R1071"/>
  <c r="R1070" s="1"/>
  <c r="Q1071"/>
  <c r="P1071"/>
  <c r="P1070" s="1"/>
  <c r="X1069"/>
  <c r="W1069"/>
  <c r="V1069"/>
  <c r="U1068"/>
  <c r="U1067" s="1"/>
  <c r="T1068"/>
  <c r="T1067" s="1"/>
  <c r="S1068"/>
  <c r="S1067" s="1"/>
  <c r="R1068"/>
  <c r="Q1068"/>
  <c r="Q1067" s="1"/>
  <c r="P1068"/>
  <c r="X1063"/>
  <c r="W1063"/>
  <c r="S1063"/>
  <c r="S737" s="1"/>
  <c r="S736" s="1"/>
  <c r="S735" s="1"/>
  <c r="S734" s="1"/>
  <c r="S733" s="1"/>
  <c r="M46" i="6" s="1"/>
  <c r="U1062" i="5"/>
  <c r="U1061" s="1"/>
  <c r="U1060" s="1"/>
  <c r="U1059" s="1"/>
  <c r="T1062"/>
  <c r="R1062"/>
  <c r="R1061" s="1"/>
  <c r="Q1062"/>
  <c r="P1062"/>
  <c r="P1061" s="1"/>
  <c r="P1060" s="1"/>
  <c r="P1059" s="1"/>
  <c r="T1061"/>
  <c r="T1060" s="1"/>
  <c r="T1059" s="1"/>
  <c r="X1058"/>
  <c r="W1058"/>
  <c r="V1058"/>
  <c r="U1057"/>
  <c r="U1056" s="1"/>
  <c r="T1057"/>
  <c r="T1056" s="1"/>
  <c r="S1057"/>
  <c r="S1056" s="1"/>
  <c r="R1057"/>
  <c r="R1056" s="1"/>
  <c r="Q1057"/>
  <c r="Q1056" s="1"/>
  <c r="P1057"/>
  <c r="X1055"/>
  <c r="W1055"/>
  <c r="V1055"/>
  <c r="U1054"/>
  <c r="U1053" s="1"/>
  <c r="T1054"/>
  <c r="T1053" s="1"/>
  <c r="S1054"/>
  <c r="S1053" s="1"/>
  <c r="R1054"/>
  <c r="R1053" s="1"/>
  <c r="Q1054"/>
  <c r="P1054"/>
  <c r="X1051"/>
  <c r="W1051"/>
  <c r="V1051"/>
  <c r="U1050"/>
  <c r="T1050"/>
  <c r="T1049" s="1"/>
  <c r="S1050"/>
  <c r="S1049" s="1"/>
  <c r="R1050"/>
  <c r="R1049" s="1"/>
  <c r="Q1050"/>
  <c r="Q1049" s="1"/>
  <c r="P1050"/>
  <c r="P1049" s="1"/>
  <c r="X1048"/>
  <c r="W1048"/>
  <c r="S1048"/>
  <c r="U1047"/>
  <c r="U1046" s="1"/>
  <c r="T1047"/>
  <c r="T1046" s="1"/>
  <c r="R1047"/>
  <c r="R1046" s="1"/>
  <c r="Q1047"/>
  <c r="P1047"/>
  <c r="P1046" s="1"/>
  <c r="X1045"/>
  <c r="W1045"/>
  <c r="V1045"/>
  <c r="U1044"/>
  <c r="U1043" s="1"/>
  <c r="T1044"/>
  <c r="T1043" s="1"/>
  <c r="S1044"/>
  <c r="S1043" s="1"/>
  <c r="R1044"/>
  <c r="Q1044"/>
  <c r="P1044"/>
  <c r="X1042"/>
  <c r="W1042"/>
  <c r="V1042"/>
  <c r="U1041"/>
  <c r="U1040" s="1"/>
  <c r="T1041"/>
  <c r="T1040" s="1"/>
  <c r="S1041"/>
  <c r="S1040" s="1"/>
  <c r="R1041"/>
  <c r="Q1041"/>
  <c r="Q1040" s="1"/>
  <c r="P1041"/>
  <c r="P1040" s="1"/>
  <c r="X1037"/>
  <c r="W1037"/>
  <c r="V1037"/>
  <c r="U1036"/>
  <c r="U1035" s="1"/>
  <c r="T1036"/>
  <c r="T1035" s="1"/>
  <c r="S1036"/>
  <c r="S1035" s="1"/>
  <c r="R1036"/>
  <c r="Q1036"/>
  <c r="P1036"/>
  <c r="X1034"/>
  <c r="W1034"/>
  <c r="V1034"/>
  <c r="U1033"/>
  <c r="U1032" s="1"/>
  <c r="T1033"/>
  <c r="T1032" s="1"/>
  <c r="S1033"/>
  <c r="S1032" s="1"/>
  <c r="R1033"/>
  <c r="R1032" s="1"/>
  <c r="Q1033"/>
  <c r="Q1032" s="1"/>
  <c r="P1033"/>
  <c r="P1032" s="1"/>
  <c r="X1030"/>
  <c r="W1030"/>
  <c r="V1030"/>
  <c r="U1029"/>
  <c r="U1028" s="1"/>
  <c r="U1027" s="1"/>
  <c r="T1029"/>
  <c r="T1028" s="1"/>
  <c r="T1027" s="1"/>
  <c r="S1029"/>
  <c r="R1029"/>
  <c r="R1028" s="1"/>
  <c r="Q1029"/>
  <c r="P1029"/>
  <c r="P1028" s="1"/>
  <c r="P1027" s="1"/>
  <c r="S1028"/>
  <c r="X1026"/>
  <c r="W1026"/>
  <c r="V1026"/>
  <c r="U1025"/>
  <c r="U1024" s="1"/>
  <c r="U1023" s="1"/>
  <c r="U1022" s="1"/>
  <c r="T1025"/>
  <c r="T1024" s="1"/>
  <c r="T1023" s="1"/>
  <c r="T1022" s="1"/>
  <c r="S1025"/>
  <c r="S1024" s="1"/>
  <c r="S1023" s="1"/>
  <c r="S1022" s="1"/>
  <c r="R1025"/>
  <c r="R1024" s="1"/>
  <c r="R1023" s="1"/>
  <c r="Q1025"/>
  <c r="Q1024" s="1"/>
  <c r="P1025"/>
  <c r="P1024" s="1"/>
  <c r="X1021"/>
  <c r="W1021"/>
  <c r="V1021"/>
  <c r="U1020"/>
  <c r="U1019" s="1"/>
  <c r="T1020"/>
  <c r="T1019" s="1"/>
  <c r="S1020"/>
  <c r="R1020"/>
  <c r="Q1020"/>
  <c r="P1020"/>
  <c r="P1019" s="1"/>
  <c r="S1019"/>
  <c r="X1018"/>
  <c r="W1018"/>
  <c r="S1017"/>
  <c r="S1016" s="1"/>
  <c r="U1017"/>
  <c r="U1016" s="1"/>
  <c r="T1017"/>
  <c r="T1016" s="1"/>
  <c r="R1017"/>
  <c r="R1016" s="1"/>
  <c r="Q1017"/>
  <c r="Q1016" s="1"/>
  <c r="P1017"/>
  <c r="X1013"/>
  <c r="W1013"/>
  <c r="V1013"/>
  <c r="U1012"/>
  <c r="T1012"/>
  <c r="S1012"/>
  <c r="R1012"/>
  <c r="Q1012"/>
  <c r="P1012"/>
  <c r="X1011"/>
  <c r="W1011"/>
  <c r="V1011"/>
  <c r="U1010"/>
  <c r="T1010"/>
  <c r="S1010"/>
  <c r="R1010"/>
  <c r="Q1010"/>
  <c r="P1010"/>
  <c r="X1008"/>
  <c r="W1008"/>
  <c r="V1008"/>
  <c r="U1007"/>
  <c r="T1007"/>
  <c r="S1007"/>
  <c r="R1007"/>
  <c r="Q1007"/>
  <c r="P1007"/>
  <c r="X1006"/>
  <c r="W1006"/>
  <c r="V1006"/>
  <c r="U1005"/>
  <c r="T1005"/>
  <c r="S1005"/>
  <c r="R1005"/>
  <c r="Q1005"/>
  <c r="P1005"/>
  <c r="X1003"/>
  <c r="W1003"/>
  <c r="V1003"/>
  <c r="U1002"/>
  <c r="U1001" s="1"/>
  <c r="T1002"/>
  <c r="T1001" s="1"/>
  <c r="S1002"/>
  <c r="S1001" s="1"/>
  <c r="R1002"/>
  <c r="R1001" s="1"/>
  <c r="Q1002"/>
  <c r="P1002"/>
  <c r="P1001" s="1"/>
  <c r="X996"/>
  <c r="W996"/>
  <c r="V996"/>
  <c r="U995"/>
  <c r="U994" s="1"/>
  <c r="U993" s="1"/>
  <c r="T995"/>
  <c r="T994" s="1"/>
  <c r="T993" s="1"/>
  <c r="S995"/>
  <c r="S994" s="1"/>
  <c r="S993" s="1"/>
  <c r="R995"/>
  <c r="Q995"/>
  <c r="P995"/>
  <c r="P994" s="1"/>
  <c r="P993" s="1"/>
  <c r="X992"/>
  <c r="W992"/>
  <c r="V992"/>
  <c r="U991"/>
  <c r="U990" s="1"/>
  <c r="T991"/>
  <c r="T990" s="1"/>
  <c r="S991"/>
  <c r="R991"/>
  <c r="R990" s="1"/>
  <c r="Q991"/>
  <c r="Q990" s="1"/>
  <c r="P991"/>
  <c r="S990"/>
  <c r="X989"/>
  <c r="W989"/>
  <c r="V989"/>
  <c r="U988"/>
  <c r="U987" s="1"/>
  <c r="T988"/>
  <c r="T987" s="1"/>
  <c r="S988"/>
  <c r="S987" s="1"/>
  <c r="R988"/>
  <c r="R987" s="1"/>
  <c r="Q988"/>
  <c r="P988"/>
  <c r="P987" s="1"/>
  <c r="X986"/>
  <c r="W986"/>
  <c r="V986"/>
  <c r="U985"/>
  <c r="U984" s="1"/>
  <c r="T985"/>
  <c r="T984" s="1"/>
  <c r="S985"/>
  <c r="S984" s="1"/>
  <c r="R985"/>
  <c r="Q985"/>
  <c r="P985"/>
  <c r="X981"/>
  <c r="W981"/>
  <c r="V981"/>
  <c r="U980"/>
  <c r="U979" s="1"/>
  <c r="T980"/>
  <c r="T979" s="1"/>
  <c r="S980"/>
  <c r="R980"/>
  <c r="R979" s="1"/>
  <c r="Q980"/>
  <c r="P980"/>
  <c r="S979"/>
  <c r="X978"/>
  <c r="W978"/>
  <c r="V978"/>
  <c r="U977"/>
  <c r="U976" s="1"/>
  <c r="T977"/>
  <c r="T976" s="1"/>
  <c r="S977"/>
  <c r="S976" s="1"/>
  <c r="R977"/>
  <c r="Q977"/>
  <c r="P977"/>
  <c r="X975"/>
  <c r="W975"/>
  <c r="V975"/>
  <c r="U974"/>
  <c r="U973" s="1"/>
  <c r="T974"/>
  <c r="T973" s="1"/>
  <c r="S974"/>
  <c r="S973" s="1"/>
  <c r="R974"/>
  <c r="R973" s="1"/>
  <c r="Q974"/>
  <c r="Q973" s="1"/>
  <c r="P974"/>
  <c r="P973" s="1"/>
  <c r="V971"/>
  <c r="R971"/>
  <c r="R617" s="1"/>
  <c r="Q971"/>
  <c r="Q617" s="1"/>
  <c r="U970"/>
  <c r="U969" s="1"/>
  <c r="U968" s="1"/>
  <c r="U967" s="1"/>
  <c r="T970"/>
  <c r="S970"/>
  <c r="S969" s="1"/>
  <c r="S968" s="1"/>
  <c r="S967" s="1"/>
  <c r="P970"/>
  <c r="V962"/>
  <c r="R962"/>
  <c r="Q962"/>
  <c r="W962" s="1"/>
  <c r="U961"/>
  <c r="U960" s="1"/>
  <c r="T961"/>
  <c r="T960" s="1"/>
  <c r="S961"/>
  <c r="S960" s="1"/>
  <c r="P961"/>
  <c r="X959"/>
  <c r="W959"/>
  <c r="V959"/>
  <c r="U958"/>
  <c r="U957" s="1"/>
  <c r="T958"/>
  <c r="T957" s="1"/>
  <c r="S958"/>
  <c r="S957" s="1"/>
  <c r="R958"/>
  <c r="Q958"/>
  <c r="Q957" s="1"/>
  <c r="P958"/>
  <c r="P957" s="1"/>
  <c r="X956"/>
  <c r="W956"/>
  <c r="V956"/>
  <c r="U955"/>
  <c r="T955"/>
  <c r="S955"/>
  <c r="R955"/>
  <c r="Q955"/>
  <c r="P955"/>
  <c r="X954"/>
  <c r="W954"/>
  <c r="V954"/>
  <c r="U953"/>
  <c r="T953"/>
  <c r="S953"/>
  <c r="R953"/>
  <c r="Q953"/>
  <c r="P953"/>
  <c r="X951"/>
  <c r="W951"/>
  <c r="V951"/>
  <c r="U950"/>
  <c r="U949" s="1"/>
  <c r="T950"/>
  <c r="T949" s="1"/>
  <c r="S950"/>
  <c r="S949" s="1"/>
  <c r="R950"/>
  <c r="R949" s="1"/>
  <c r="Q950"/>
  <c r="Q949" s="1"/>
  <c r="P950"/>
  <c r="X946"/>
  <c r="W946"/>
  <c r="V946"/>
  <c r="U945"/>
  <c r="U944" s="1"/>
  <c r="U943" s="1"/>
  <c r="T945"/>
  <c r="S945"/>
  <c r="S944" s="1"/>
  <c r="S943" s="1"/>
  <c r="R945"/>
  <c r="R944" s="1"/>
  <c r="Q945"/>
  <c r="Q944" s="1"/>
  <c r="Q943" s="1"/>
  <c r="P945"/>
  <c r="X942"/>
  <c r="W942"/>
  <c r="V942"/>
  <c r="U941"/>
  <c r="U940" s="1"/>
  <c r="T941"/>
  <c r="T940" s="1"/>
  <c r="S941"/>
  <c r="S940" s="1"/>
  <c r="R941"/>
  <c r="R940" s="1"/>
  <c r="Q941"/>
  <c r="P941"/>
  <c r="P940" s="1"/>
  <c r="X939"/>
  <c r="W939"/>
  <c r="V939"/>
  <c r="U938"/>
  <c r="U937" s="1"/>
  <c r="T938"/>
  <c r="T937" s="1"/>
  <c r="S938"/>
  <c r="S937" s="1"/>
  <c r="R938"/>
  <c r="Q938"/>
  <c r="P938"/>
  <c r="P937" s="1"/>
  <c r="X933"/>
  <c r="W933"/>
  <c r="V933"/>
  <c r="U932"/>
  <c r="T932"/>
  <c r="S932"/>
  <c r="R932"/>
  <c r="Q932"/>
  <c r="P932"/>
  <c r="X931"/>
  <c r="W931"/>
  <c r="V931"/>
  <c r="U930"/>
  <c r="T930"/>
  <c r="S930"/>
  <c r="R930"/>
  <c r="Q930"/>
  <c r="P930"/>
  <c r="X925"/>
  <c r="W925"/>
  <c r="V925"/>
  <c r="U924"/>
  <c r="U923" s="1"/>
  <c r="U922" s="1"/>
  <c r="T924"/>
  <c r="T923" s="1"/>
  <c r="T922" s="1"/>
  <c r="S924"/>
  <c r="S923" s="1"/>
  <c r="S922" s="1"/>
  <c r="R924"/>
  <c r="R923" s="1"/>
  <c r="R922" s="1"/>
  <c r="Q924"/>
  <c r="P924"/>
  <c r="X920"/>
  <c r="W920"/>
  <c r="V920"/>
  <c r="U919"/>
  <c r="U918" s="1"/>
  <c r="T919"/>
  <c r="T918" s="1"/>
  <c r="S919"/>
  <c r="S918" s="1"/>
  <c r="R919"/>
  <c r="Q919"/>
  <c r="Q918" s="1"/>
  <c r="P919"/>
  <c r="P918" s="1"/>
  <c r="X917"/>
  <c r="W917"/>
  <c r="V917"/>
  <c r="U916"/>
  <c r="U915" s="1"/>
  <c r="T916"/>
  <c r="T915" s="1"/>
  <c r="S916"/>
  <c r="S915" s="1"/>
  <c r="R916"/>
  <c r="Q916"/>
  <c r="Q915" s="1"/>
  <c r="P916"/>
  <c r="X914"/>
  <c r="W914"/>
  <c r="V914"/>
  <c r="U913"/>
  <c r="U912" s="1"/>
  <c r="T913"/>
  <c r="T912" s="1"/>
  <c r="S913"/>
  <c r="S912" s="1"/>
  <c r="R913"/>
  <c r="Q913"/>
  <c r="P913"/>
  <c r="X911"/>
  <c r="W911"/>
  <c r="V911"/>
  <c r="U910"/>
  <c r="U909" s="1"/>
  <c r="T910"/>
  <c r="S910"/>
  <c r="S909" s="1"/>
  <c r="R910"/>
  <c r="R909" s="1"/>
  <c r="Q910"/>
  <c r="Q909" s="1"/>
  <c r="P910"/>
  <c r="X908"/>
  <c r="W908"/>
  <c r="V908"/>
  <c r="U907"/>
  <c r="U906" s="1"/>
  <c r="T907"/>
  <c r="T906" s="1"/>
  <c r="S907"/>
  <c r="S906" s="1"/>
  <c r="R907"/>
  <c r="Q907"/>
  <c r="Q906" s="1"/>
  <c r="P907"/>
  <c r="R906"/>
  <c r="V902"/>
  <c r="S901"/>
  <c r="R901"/>
  <c r="Q901"/>
  <c r="P901"/>
  <c r="V900"/>
  <c r="S899"/>
  <c r="R899"/>
  <c r="Q899"/>
  <c r="P899"/>
  <c r="V894"/>
  <c r="R894"/>
  <c r="X894" s="1"/>
  <c r="Q894"/>
  <c r="U893"/>
  <c r="U892" s="1"/>
  <c r="T893"/>
  <c r="T892" s="1"/>
  <c r="S893"/>
  <c r="S892" s="1"/>
  <c r="P893"/>
  <c r="V891"/>
  <c r="R891"/>
  <c r="Q891"/>
  <c r="U890"/>
  <c r="U889" s="1"/>
  <c r="T890"/>
  <c r="T889" s="1"/>
  <c r="S890"/>
  <c r="S889" s="1"/>
  <c r="P890"/>
  <c r="P889" s="1"/>
  <c r="R887"/>
  <c r="Q887"/>
  <c r="P887"/>
  <c r="V887" s="1"/>
  <c r="U886"/>
  <c r="U885" s="1"/>
  <c r="U884" s="1"/>
  <c r="U883" s="1"/>
  <c r="T886"/>
  <c r="T885" s="1"/>
  <c r="T884" s="1"/>
  <c r="T883" s="1"/>
  <c r="S886"/>
  <c r="S885" s="1"/>
  <c r="S884" s="1"/>
  <c r="S883" s="1"/>
  <c r="P886"/>
  <c r="P885" s="1"/>
  <c r="X882"/>
  <c r="W882"/>
  <c r="V882"/>
  <c r="U881"/>
  <c r="U880" s="1"/>
  <c r="U879" s="1"/>
  <c r="U878" s="1"/>
  <c r="T881"/>
  <c r="T880" s="1"/>
  <c r="T879" s="1"/>
  <c r="T878" s="1"/>
  <c r="S881"/>
  <c r="S880" s="1"/>
  <c r="R881"/>
  <c r="R880" s="1"/>
  <c r="Q881"/>
  <c r="P881"/>
  <c r="X877"/>
  <c r="W877"/>
  <c r="V877"/>
  <c r="U876"/>
  <c r="U875" s="1"/>
  <c r="U874" s="1"/>
  <c r="T876"/>
  <c r="T875" s="1"/>
  <c r="T874" s="1"/>
  <c r="S876"/>
  <c r="S875" s="1"/>
  <c r="S874" s="1"/>
  <c r="R876"/>
  <c r="R875" s="1"/>
  <c r="R874" s="1"/>
  <c r="Q876"/>
  <c r="P876"/>
  <c r="X872"/>
  <c r="W872"/>
  <c r="V872"/>
  <c r="U871"/>
  <c r="U870" s="1"/>
  <c r="U869" s="1"/>
  <c r="U868" s="1"/>
  <c r="T871"/>
  <c r="T870" s="1"/>
  <c r="T869" s="1"/>
  <c r="T868" s="1"/>
  <c r="S871"/>
  <c r="S870" s="1"/>
  <c r="S869" s="1"/>
  <c r="S868" s="1"/>
  <c r="R871"/>
  <c r="R870" s="1"/>
  <c r="R869" s="1"/>
  <c r="Q871"/>
  <c r="P871"/>
  <c r="P870" s="1"/>
  <c r="X867"/>
  <c r="W867"/>
  <c r="V867"/>
  <c r="U866"/>
  <c r="T866"/>
  <c r="S866"/>
  <c r="R866"/>
  <c r="Q866"/>
  <c r="P866"/>
  <c r="X865"/>
  <c r="W865"/>
  <c r="V865"/>
  <c r="U864"/>
  <c r="T864"/>
  <c r="S864"/>
  <c r="R864"/>
  <c r="Q864"/>
  <c r="P864"/>
  <c r="X862"/>
  <c r="W862"/>
  <c r="V862"/>
  <c r="U861"/>
  <c r="T861"/>
  <c r="S861"/>
  <c r="R861"/>
  <c r="Q861"/>
  <c r="P861"/>
  <c r="X860"/>
  <c r="W860"/>
  <c r="V860"/>
  <c r="U859"/>
  <c r="T859"/>
  <c r="S859"/>
  <c r="R859"/>
  <c r="Q859"/>
  <c r="P859"/>
  <c r="X857"/>
  <c r="W857"/>
  <c r="V857"/>
  <c r="U856"/>
  <c r="T856"/>
  <c r="S856"/>
  <c r="R856"/>
  <c r="Q856"/>
  <c r="P856"/>
  <c r="X855"/>
  <c r="W855"/>
  <c r="V855"/>
  <c r="U854"/>
  <c r="T854"/>
  <c r="S854"/>
  <c r="R854"/>
  <c r="Q854"/>
  <c r="P854"/>
  <c r="X852"/>
  <c r="W852"/>
  <c r="V852"/>
  <c r="U851"/>
  <c r="U850" s="1"/>
  <c r="T851"/>
  <c r="T850" s="1"/>
  <c r="S851"/>
  <c r="S850" s="1"/>
  <c r="R851"/>
  <c r="R850" s="1"/>
  <c r="Q851"/>
  <c r="P851"/>
  <c r="P850" s="1"/>
  <c r="X849"/>
  <c r="W849"/>
  <c r="P849"/>
  <c r="V849" s="1"/>
  <c r="U848"/>
  <c r="T848"/>
  <c r="S848"/>
  <c r="R848"/>
  <c r="Q848"/>
  <c r="X847"/>
  <c r="W847"/>
  <c r="V847"/>
  <c r="U846"/>
  <c r="T846"/>
  <c r="S846"/>
  <c r="R846"/>
  <c r="Q846"/>
  <c r="P846"/>
  <c r="V845"/>
  <c r="R845"/>
  <c r="X845" s="1"/>
  <c r="Q845"/>
  <c r="P845"/>
  <c r="U844"/>
  <c r="T844"/>
  <c r="S844"/>
  <c r="P844"/>
  <c r="X841"/>
  <c r="W841"/>
  <c r="V841"/>
  <c r="U840"/>
  <c r="U839" s="1"/>
  <c r="U838" s="1"/>
  <c r="T840"/>
  <c r="T839" s="1"/>
  <c r="T838" s="1"/>
  <c r="S840"/>
  <c r="S839" s="1"/>
  <c r="S838" s="1"/>
  <c r="R840"/>
  <c r="Q840"/>
  <c r="P840"/>
  <c r="X836"/>
  <c r="W836"/>
  <c r="V836"/>
  <c r="U835"/>
  <c r="U834" s="1"/>
  <c r="U833" s="1"/>
  <c r="U832" s="1"/>
  <c r="T835"/>
  <c r="T834" s="1"/>
  <c r="T833" s="1"/>
  <c r="T832" s="1"/>
  <c r="S835"/>
  <c r="S834" s="1"/>
  <c r="S833" s="1"/>
  <c r="S832" s="1"/>
  <c r="R835"/>
  <c r="Q835"/>
  <c r="Q834" s="1"/>
  <c r="P835"/>
  <c r="P834" s="1"/>
  <c r="U828"/>
  <c r="U827" s="1"/>
  <c r="U826" s="1"/>
  <c r="U825" s="1"/>
  <c r="U824" s="1"/>
  <c r="U823" s="1"/>
  <c r="T828"/>
  <c r="T827" s="1"/>
  <c r="T826" s="1"/>
  <c r="T825" s="1"/>
  <c r="T824" s="1"/>
  <c r="T823" s="1"/>
  <c r="S828"/>
  <c r="S827" s="1"/>
  <c r="S826" s="1"/>
  <c r="S825" s="1"/>
  <c r="S824" s="1"/>
  <c r="S823" s="1"/>
  <c r="R828"/>
  <c r="Q828"/>
  <c r="P828"/>
  <c r="P827" s="1"/>
  <c r="O827"/>
  <c r="O826" s="1"/>
  <c r="O825" s="1"/>
  <c r="O824" s="1"/>
  <c r="O823" s="1"/>
  <c r="N827"/>
  <c r="N826" s="1"/>
  <c r="N825" s="1"/>
  <c r="N824" s="1"/>
  <c r="N823" s="1"/>
  <c r="H81" i="6" s="1"/>
  <c r="M827" i="5"/>
  <c r="M826" s="1"/>
  <c r="M825" s="1"/>
  <c r="M824" s="1"/>
  <c r="M823" s="1"/>
  <c r="L827"/>
  <c r="L826" s="1"/>
  <c r="L825" s="1"/>
  <c r="L824" s="1"/>
  <c r="L823" s="1"/>
  <c r="K827"/>
  <c r="K826" s="1"/>
  <c r="K825" s="1"/>
  <c r="K824" s="1"/>
  <c r="K823" s="1"/>
  <c r="J827"/>
  <c r="J826" s="1"/>
  <c r="J825" s="1"/>
  <c r="J824" s="1"/>
  <c r="J823" s="1"/>
  <c r="U820"/>
  <c r="U819" s="1"/>
  <c r="U818" s="1"/>
  <c r="U817" s="1"/>
  <c r="U816" s="1"/>
  <c r="T820"/>
  <c r="T819" s="1"/>
  <c r="T818" s="1"/>
  <c r="T817" s="1"/>
  <c r="T816" s="1"/>
  <c r="S820"/>
  <c r="S819" s="1"/>
  <c r="S818" s="1"/>
  <c r="S817" s="1"/>
  <c r="S816" s="1"/>
  <c r="R820"/>
  <c r="R819" s="1"/>
  <c r="Q820"/>
  <c r="P820"/>
  <c r="O819"/>
  <c r="O818" s="1"/>
  <c r="O817" s="1"/>
  <c r="O816" s="1"/>
  <c r="N819"/>
  <c r="N818" s="1"/>
  <c r="N817" s="1"/>
  <c r="N816" s="1"/>
  <c r="M819"/>
  <c r="M818" s="1"/>
  <c r="M817" s="1"/>
  <c r="M816" s="1"/>
  <c r="L819"/>
  <c r="L818" s="1"/>
  <c r="L817" s="1"/>
  <c r="L816" s="1"/>
  <c r="K819"/>
  <c r="K818" s="1"/>
  <c r="K817" s="1"/>
  <c r="K816" s="1"/>
  <c r="J819"/>
  <c r="J818" s="1"/>
  <c r="J817" s="1"/>
  <c r="J816" s="1"/>
  <c r="U814"/>
  <c r="U813" s="1"/>
  <c r="U812" s="1"/>
  <c r="T814"/>
  <c r="T813" s="1"/>
  <c r="T812" s="1"/>
  <c r="S814"/>
  <c r="S813" s="1"/>
  <c r="R814"/>
  <c r="R813" s="1"/>
  <c r="R812" s="1"/>
  <c r="Q814"/>
  <c r="P814"/>
  <c r="O813"/>
  <c r="O812" s="1"/>
  <c r="N813"/>
  <c r="N812" s="1"/>
  <c r="M813"/>
  <c r="M812" s="1"/>
  <c r="L813"/>
  <c r="L812" s="1"/>
  <c r="K813"/>
  <c r="K812" s="1"/>
  <c r="J813"/>
  <c r="J812" s="1"/>
  <c r="U811"/>
  <c r="U810" s="1"/>
  <c r="T811"/>
  <c r="T810" s="1"/>
  <c r="S811"/>
  <c r="R811"/>
  <c r="R810" s="1"/>
  <c r="Q811"/>
  <c r="Q810" s="1"/>
  <c r="P811"/>
  <c r="S810"/>
  <c r="U809"/>
  <c r="U808" s="1"/>
  <c r="U807" s="1"/>
  <c r="T809"/>
  <c r="T808" s="1"/>
  <c r="S809"/>
  <c r="R809"/>
  <c r="Q809"/>
  <c r="P809"/>
  <c r="P808" s="1"/>
  <c r="O808"/>
  <c r="O807" s="1"/>
  <c r="N808"/>
  <c r="N807" s="1"/>
  <c r="M808"/>
  <c r="M807" s="1"/>
  <c r="L808"/>
  <c r="L807" s="1"/>
  <c r="K808"/>
  <c r="K807" s="1"/>
  <c r="J808"/>
  <c r="J807"/>
  <c r="U806"/>
  <c r="U805" s="1"/>
  <c r="U804" s="1"/>
  <c r="T806"/>
  <c r="T805" s="1"/>
  <c r="T804" s="1"/>
  <c r="S806"/>
  <c r="R806"/>
  <c r="R805" s="1"/>
  <c r="Q806"/>
  <c r="P806"/>
  <c r="P805" s="1"/>
  <c r="P804" s="1"/>
  <c r="O805"/>
  <c r="O804" s="1"/>
  <c r="N805"/>
  <c r="N804" s="1"/>
  <c r="M805"/>
  <c r="M804" s="1"/>
  <c r="L805"/>
  <c r="L804" s="1"/>
  <c r="K805"/>
  <c r="K804" s="1"/>
  <c r="J805"/>
  <c r="J804" s="1"/>
  <c r="U803"/>
  <c r="U802" s="1"/>
  <c r="U801" s="1"/>
  <c r="T803"/>
  <c r="T802" s="1"/>
  <c r="T801" s="1"/>
  <c r="S803"/>
  <c r="S802" s="1"/>
  <c r="S801" s="1"/>
  <c r="R803"/>
  <c r="R802" s="1"/>
  <c r="Q803"/>
  <c r="P803"/>
  <c r="O802"/>
  <c r="O801" s="1"/>
  <c r="N802"/>
  <c r="N801" s="1"/>
  <c r="M802"/>
  <c r="M801" s="1"/>
  <c r="L802"/>
  <c r="L801" s="1"/>
  <c r="K802"/>
  <c r="K801" s="1"/>
  <c r="J802"/>
  <c r="J801" s="1"/>
  <c r="U800"/>
  <c r="U799" s="1"/>
  <c r="U798" s="1"/>
  <c r="T800"/>
  <c r="S800"/>
  <c r="S799" s="1"/>
  <c r="S798" s="1"/>
  <c r="R800"/>
  <c r="R799" s="1"/>
  <c r="Q800"/>
  <c r="Q799" s="1"/>
  <c r="P800"/>
  <c r="U796"/>
  <c r="U795" s="1"/>
  <c r="U794" s="1"/>
  <c r="T796"/>
  <c r="T795" s="1"/>
  <c r="T794" s="1"/>
  <c r="S796"/>
  <c r="S795" s="1"/>
  <c r="R796"/>
  <c r="R795" s="1"/>
  <c r="R794" s="1"/>
  <c r="Q796"/>
  <c r="P796"/>
  <c r="O795"/>
  <c r="O794" s="1"/>
  <c r="N795"/>
  <c r="N794" s="1"/>
  <c r="M795"/>
  <c r="M794" s="1"/>
  <c r="L795"/>
  <c r="L794" s="1"/>
  <c r="K795"/>
  <c r="K794" s="1"/>
  <c r="J795"/>
  <c r="J794" s="1"/>
  <c r="U793"/>
  <c r="U792" s="1"/>
  <c r="U791" s="1"/>
  <c r="T793"/>
  <c r="T792" s="1"/>
  <c r="T791" s="1"/>
  <c r="S793"/>
  <c r="S792" s="1"/>
  <c r="S791" s="1"/>
  <c r="R793"/>
  <c r="R792" s="1"/>
  <c r="Q793"/>
  <c r="Q792" s="1"/>
  <c r="P793"/>
  <c r="O792"/>
  <c r="O791" s="1"/>
  <c r="N792"/>
  <c r="N791" s="1"/>
  <c r="M792"/>
  <c r="M791" s="1"/>
  <c r="L792"/>
  <c r="L791" s="1"/>
  <c r="K792"/>
  <c r="K791" s="1"/>
  <c r="J792"/>
  <c r="J791" s="1"/>
  <c r="U788"/>
  <c r="U787" s="1"/>
  <c r="U786" s="1"/>
  <c r="U785" s="1"/>
  <c r="T788"/>
  <c r="T787" s="1"/>
  <c r="T786" s="1"/>
  <c r="T785" s="1"/>
  <c r="S788"/>
  <c r="S787" s="1"/>
  <c r="R788"/>
  <c r="Q788"/>
  <c r="P788"/>
  <c r="O787"/>
  <c r="O786" s="1"/>
  <c r="O785" s="1"/>
  <c r="N787"/>
  <c r="N786" s="1"/>
  <c r="N785" s="1"/>
  <c r="M787"/>
  <c r="M786" s="1"/>
  <c r="M785" s="1"/>
  <c r="L787"/>
  <c r="L786" s="1"/>
  <c r="L785" s="1"/>
  <c r="K787"/>
  <c r="K786" s="1"/>
  <c r="K785" s="1"/>
  <c r="J787"/>
  <c r="J786" s="1"/>
  <c r="J785" s="1"/>
  <c r="U782"/>
  <c r="U781" s="1"/>
  <c r="T782"/>
  <c r="T781" s="1"/>
  <c r="S782"/>
  <c r="S781" s="1"/>
  <c r="R782"/>
  <c r="Q782"/>
  <c r="P782"/>
  <c r="O781"/>
  <c r="N781"/>
  <c r="M781"/>
  <c r="L781"/>
  <c r="K781"/>
  <c r="J781"/>
  <c r="U780"/>
  <c r="U779" s="1"/>
  <c r="T780"/>
  <c r="T779" s="1"/>
  <c r="S780"/>
  <c r="R780"/>
  <c r="Q780"/>
  <c r="P780"/>
  <c r="P779" s="1"/>
  <c r="O779"/>
  <c r="N779"/>
  <c r="N778" s="1"/>
  <c r="N777" s="1"/>
  <c r="N776" s="1"/>
  <c r="H67" i="6" s="1"/>
  <c r="M779" i="5"/>
  <c r="M778" s="1"/>
  <c r="M777" s="1"/>
  <c r="M776" s="1"/>
  <c r="G67" i="6" s="1"/>
  <c r="L779" i="5"/>
  <c r="K779"/>
  <c r="J779"/>
  <c r="J778" s="1"/>
  <c r="J777" s="1"/>
  <c r="J776" s="1"/>
  <c r="D67" i="6" s="1"/>
  <c r="U773" i="5"/>
  <c r="U772" s="1"/>
  <c r="U771" s="1"/>
  <c r="U770" s="1"/>
  <c r="T773"/>
  <c r="T772" s="1"/>
  <c r="T771" s="1"/>
  <c r="T770" s="1"/>
  <c r="S773"/>
  <c r="S772" s="1"/>
  <c r="S771" s="1"/>
  <c r="S770" s="1"/>
  <c r="R773"/>
  <c r="Q773"/>
  <c r="Q772" s="1"/>
  <c r="Q771" s="1"/>
  <c r="Q770" s="1"/>
  <c r="P773"/>
  <c r="O772"/>
  <c r="O771" s="1"/>
  <c r="O770" s="1"/>
  <c r="N772"/>
  <c r="N771" s="1"/>
  <c r="N770" s="1"/>
  <c r="M772"/>
  <c r="M771" s="1"/>
  <c r="M770" s="1"/>
  <c r="L772"/>
  <c r="L771" s="1"/>
  <c r="L770" s="1"/>
  <c r="K772"/>
  <c r="K771" s="1"/>
  <c r="K770" s="1"/>
  <c r="J772"/>
  <c r="J771" s="1"/>
  <c r="J770" s="1"/>
  <c r="U769"/>
  <c r="T769"/>
  <c r="T768" s="1"/>
  <c r="T767" s="1"/>
  <c r="T766" s="1"/>
  <c r="T765" s="1"/>
  <c r="S769"/>
  <c r="S768" s="1"/>
  <c r="S767" s="1"/>
  <c r="S766" s="1"/>
  <c r="S765" s="1"/>
  <c r="R769"/>
  <c r="R768" s="1"/>
  <c r="Q769"/>
  <c r="P769"/>
  <c r="O768"/>
  <c r="O767" s="1"/>
  <c r="O766" s="1"/>
  <c r="O765" s="1"/>
  <c r="N768"/>
  <c r="N767" s="1"/>
  <c r="N766" s="1"/>
  <c r="N765" s="1"/>
  <c r="M768"/>
  <c r="M767" s="1"/>
  <c r="M766" s="1"/>
  <c r="M765" s="1"/>
  <c r="L768"/>
  <c r="L767" s="1"/>
  <c r="L766" s="1"/>
  <c r="L765" s="1"/>
  <c r="K768"/>
  <c r="K767" s="1"/>
  <c r="K766" s="1"/>
  <c r="K765" s="1"/>
  <c r="J768"/>
  <c r="J767" s="1"/>
  <c r="J766" s="1"/>
  <c r="J765" s="1"/>
  <c r="U761"/>
  <c r="U760" s="1"/>
  <c r="U759" s="1"/>
  <c r="T761"/>
  <c r="T760" s="1"/>
  <c r="T759" s="1"/>
  <c r="R761"/>
  <c r="Q761"/>
  <c r="Q760" s="1"/>
  <c r="Q759" s="1"/>
  <c r="P761"/>
  <c r="U758"/>
  <c r="U757" s="1"/>
  <c r="U756" s="1"/>
  <c r="T758"/>
  <c r="T757" s="1"/>
  <c r="T756" s="1"/>
  <c r="S758"/>
  <c r="S757" s="1"/>
  <c r="S756" s="1"/>
  <c r="R758"/>
  <c r="Q758"/>
  <c r="P758"/>
  <c r="O757"/>
  <c r="O756" s="1"/>
  <c r="O755" s="1"/>
  <c r="O754" s="1"/>
  <c r="O753" s="1"/>
  <c r="O752" s="1"/>
  <c r="N757"/>
  <c r="N756" s="1"/>
  <c r="N755" s="1"/>
  <c r="N754" s="1"/>
  <c r="N753" s="1"/>
  <c r="N752" s="1"/>
  <c r="M757"/>
  <c r="M756" s="1"/>
  <c r="M755" s="1"/>
  <c r="M754" s="1"/>
  <c r="M753" s="1"/>
  <c r="M752" s="1"/>
  <c r="L757"/>
  <c r="L756" s="1"/>
  <c r="L755" s="1"/>
  <c r="L754" s="1"/>
  <c r="L753" s="1"/>
  <c r="L752" s="1"/>
  <c r="K757"/>
  <c r="K756" s="1"/>
  <c r="K755" s="1"/>
  <c r="K754" s="1"/>
  <c r="K753" s="1"/>
  <c r="K752" s="1"/>
  <c r="J757"/>
  <c r="J756" s="1"/>
  <c r="J755" s="1"/>
  <c r="J754" s="1"/>
  <c r="J753" s="1"/>
  <c r="J752" s="1"/>
  <c r="U750"/>
  <c r="U749" s="1"/>
  <c r="U748" s="1"/>
  <c r="T750"/>
  <c r="T749" s="1"/>
  <c r="T748" s="1"/>
  <c r="S750"/>
  <c r="R750"/>
  <c r="R749" s="1"/>
  <c r="R748" s="1"/>
  <c r="Q750"/>
  <c r="P750"/>
  <c r="S749"/>
  <c r="O749"/>
  <c r="O748" s="1"/>
  <c r="N749"/>
  <c r="N748" s="1"/>
  <c r="M749"/>
  <c r="M748" s="1"/>
  <c r="L749"/>
  <c r="L748" s="1"/>
  <c r="K749"/>
  <c r="K748" s="1"/>
  <c r="J749"/>
  <c r="J748" s="1"/>
  <c r="U747"/>
  <c r="U746" s="1"/>
  <c r="U745" s="1"/>
  <c r="T747"/>
  <c r="T746" s="1"/>
  <c r="T745" s="1"/>
  <c r="S747"/>
  <c r="S746" s="1"/>
  <c r="S745" s="1"/>
  <c r="R747"/>
  <c r="R746" s="1"/>
  <c r="Q747"/>
  <c r="Q746" s="1"/>
  <c r="P747"/>
  <c r="O746"/>
  <c r="O745" s="1"/>
  <c r="N746"/>
  <c r="N745" s="1"/>
  <c r="M746"/>
  <c r="M745" s="1"/>
  <c r="L746"/>
  <c r="L745" s="1"/>
  <c r="K746"/>
  <c r="K745" s="1"/>
  <c r="J746"/>
  <c r="J745" s="1"/>
  <c r="U744"/>
  <c r="U743" s="1"/>
  <c r="U742" s="1"/>
  <c r="T744"/>
  <c r="S744"/>
  <c r="S743" s="1"/>
  <c r="S742" s="1"/>
  <c r="R744"/>
  <c r="R743" s="1"/>
  <c r="Q744"/>
  <c r="Q743" s="1"/>
  <c r="P744"/>
  <c r="O743"/>
  <c r="O742" s="1"/>
  <c r="N743"/>
  <c r="N742" s="1"/>
  <c r="M743"/>
  <c r="M742" s="1"/>
  <c r="L743"/>
  <c r="L742" s="1"/>
  <c r="K743"/>
  <c r="K742" s="1"/>
  <c r="J743"/>
  <c r="J742" s="1"/>
  <c r="U737"/>
  <c r="U736" s="1"/>
  <c r="U735" s="1"/>
  <c r="U734" s="1"/>
  <c r="U733" s="1"/>
  <c r="O46" i="6" s="1"/>
  <c r="T737" i="5"/>
  <c r="T736" s="1"/>
  <c r="T735" s="1"/>
  <c r="T734" s="1"/>
  <c r="T733" s="1"/>
  <c r="N46" i="6" s="1"/>
  <c r="R737" i="5"/>
  <c r="Q737"/>
  <c r="Q736" s="1"/>
  <c r="P737"/>
  <c r="P736" s="1"/>
  <c r="U731"/>
  <c r="U730" s="1"/>
  <c r="U729" s="1"/>
  <c r="T731"/>
  <c r="T730" s="1"/>
  <c r="S731"/>
  <c r="S730" s="1"/>
  <c r="R731"/>
  <c r="Q731"/>
  <c r="P731"/>
  <c r="U728"/>
  <c r="U727" s="1"/>
  <c r="T728"/>
  <c r="T727" s="1"/>
  <c r="S728"/>
  <c r="S727" s="1"/>
  <c r="R728"/>
  <c r="R727" s="1"/>
  <c r="Q728"/>
  <c r="P728"/>
  <c r="O727"/>
  <c r="N727"/>
  <c r="M727"/>
  <c r="L727"/>
  <c r="K727"/>
  <c r="J727"/>
  <c r="U726"/>
  <c r="U725" s="1"/>
  <c r="T726"/>
  <c r="T725" s="1"/>
  <c r="S726"/>
  <c r="S725" s="1"/>
  <c r="M726"/>
  <c r="M725" s="1"/>
  <c r="L726"/>
  <c r="L725" s="1"/>
  <c r="K726"/>
  <c r="K725" s="1"/>
  <c r="J726"/>
  <c r="J725" s="1"/>
  <c r="O725"/>
  <c r="N725"/>
  <c r="U724"/>
  <c r="U723" s="1"/>
  <c r="T724"/>
  <c r="T723" s="1"/>
  <c r="S724"/>
  <c r="S723" s="1"/>
  <c r="R724"/>
  <c r="Q724"/>
  <c r="Q723" s="1"/>
  <c r="P724"/>
  <c r="O723"/>
  <c r="N723"/>
  <c r="M723"/>
  <c r="L723"/>
  <c r="K723"/>
  <c r="J723"/>
  <c r="U721"/>
  <c r="U720" s="1"/>
  <c r="U719" s="1"/>
  <c r="T721"/>
  <c r="T720" s="1"/>
  <c r="T719" s="1"/>
  <c r="S721"/>
  <c r="S720" s="1"/>
  <c r="S719" s="1"/>
  <c r="R721"/>
  <c r="Q721"/>
  <c r="Q720" s="1"/>
  <c r="P721"/>
  <c r="O720"/>
  <c r="O719" s="1"/>
  <c r="N720"/>
  <c r="N719" s="1"/>
  <c r="M720"/>
  <c r="M719" s="1"/>
  <c r="L720"/>
  <c r="L719" s="1"/>
  <c r="K720"/>
  <c r="K719" s="1"/>
  <c r="J720"/>
  <c r="J719" s="1"/>
  <c r="U718"/>
  <c r="U717" s="1"/>
  <c r="U716" s="1"/>
  <c r="T718"/>
  <c r="S718"/>
  <c r="R718"/>
  <c r="Q718"/>
  <c r="Q717" s="1"/>
  <c r="Q716" s="1"/>
  <c r="P718"/>
  <c r="P717" s="1"/>
  <c r="O717"/>
  <c r="O716" s="1"/>
  <c r="N717"/>
  <c r="N716" s="1"/>
  <c r="M717"/>
  <c r="M716" s="1"/>
  <c r="L717"/>
  <c r="L716" s="1"/>
  <c r="K717"/>
  <c r="K716" s="1"/>
  <c r="J717"/>
  <c r="J716"/>
  <c r="U714"/>
  <c r="U713" s="1"/>
  <c r="U712" s="1"/>
  <c r="T714"/>
  <c r="T713" s="1"/>
  <c r="T712" s="1"/>
  <c r="S714"/>
  <c r="S713" s="1"/>
  <c r="S712" s="1"/>
  <c r="R714"/>
  <c r="R713" s="1"/>
  <c r="Q714"/>
  <c r="P714"/>
  <c r="N714"/>
  <c r="N713" s="1"/>
  <c r="N712" s="1"/>
  <c r="M714"/>
  <c r="M713" s="1"/>
  <c r="M712" s="1"/>
  <c r="O713"/>
  <c r="O712" s="1"/>
  <c r="L713"/>
  <c r="L712" s="1"/>
  <c r="K713"/>
  <c r="K712" s="1"/>
  <c r="J713"/>
  <c r="J712" s="1"/>
  <c r="U711"/>
  <c r="U710" s="1"/>
  <c r="U709" s="1"/>
  <c r="T711"/>
  <c r="T710" s="1"/>
  <c r="T709" s="1"/>
  <c r="S711"/>
  <c r="S710" s="1"/>
  <c r="R711"/>
  <c r="R710" s="1"/>
  <c r="Q711"/>
  <c r="P711"/>
  <c r="P710" s="1"/>
  <c r="P709" s="1"/>
  <c r="R708"/>
  <c r="Q708"/>
  <c r="P708"/>
  <c r="V708" s="1"/>
  <c r="U707"/>
  <c r="U706" s="1"/>
  <c r="T707"/>
  <c r="T706" s="1"/>
  <c r="S707"/>
  <c r="O707"/>
  <c r="O706" s="1"/>
  <c r="N707"/>
  <c r="N706" s="1"/>
  <c r="M707"/>
  <c r="M706" s="1"/>
  <c r="L707"/>
  <c r="L706" s="1"/>
  <c r="K707"/>
  <c r="K706" s="1"/>
  <c r="J707"/>
  <c r="J706" s="1"/>
  <c r="U705"/>
  <c r="U704" s="1"/>
  <c r="U703" s="1"/>
  <c r="T705"/>
  <c r="T704" s="1"/>
  <c r="T703" s="1"/>
  <c r="S705"/>
  <c r="S704" s="1"/>
  <c r="S703" s="1"/>
  <c r="P705"/>
  <c r="M705"/>
  <c r="M704" s="1"/>
  <c r="M703" s="1"/>
  <c r="O704"/>
  <c r="O703" s="1"/>
  <c r="N704"/>
  <c r="N703" s="1"/>
  <c r="L704"/>
  <c r="L703" s="1"/>
  <c r="K704"/>
  <c r="K703" s="1"/>
  <c r="J704"/>
  <c r="J703" s="1"/>
  <c r="U701"/>
  <c r="U700" s="1"/>
  <c r="U699" s="1"/>
  <c r="U698" s="1"/>
  <c r="T701"/>
  <c r="S701"/>
  <c r="S700" s="1"/>
  <c r="S699" s="1"/>
  <c r="S698" s="1"/>
  <c r="P701"/>
  <c r="O700"/>
  <c r="O699" s="1"/>
  <c r="O698" s="1"/>
  <c r="N700"/>
  <c r="N699" s="1"/>
  <c r="N698" s="1"/>
  <c r="M700"/>
  <c r="M699" s="1"/>
  <c r="M698" s="1"/>
  <c r="L700"/>
  <c r="L699" s="1"/>
  <c r="L698" s="1"/>
  <c r="K700"/>
  <c r="K699" s="1"/>
  <c r="K698" s="1"/>
  <c r="J700"/>
  <c r="J699" s="1"/>
  <c r="J698" s="1"/>
  <c r="U695"/>
  <c r="U694" s="1"/>
  <c r="U693" s="1"/>
  <c r="T695"/>
  <c r="T694" s="1"/>
  <c r="T693" s="1"/>
  <c r="S695"/>
  <c r="S694" s="1"/>
  <c r="S693" s="1"/>
  <c r="P695"/>
  <c r="L695"/>
  <c r="L694" s="1"/>
  <c r="L693" s="1"/>
  <c r="K695"/>
  <c r="K694" s="1"/>
  <c r="K693" s="1"/>
  <c r="J695"/>
  <c r="J694" s="1"/>
  <c r="J693" s="1"/>
  <c r="O694"/>
  <c r="O693" s="1"/>
  <c r="N694"/>
  <c r="N693" s="1"/>
  <c r="M694"/>
  <c r="M693" s="1"/>
  <c r="U692"/>
  <c r="U691" s="1"/>
  <c r="U690" s="1"/>
  <c r="T692"/>
  <c r="S692"/>
  <c r="S691" s="1"/>
  <c r="S690" s="1"/>
  <c r="R692"/>
  <c r="Q692"/>
  <c r="Q691" s="1"/>
  <c r="Q690" s="1"/>
  <c r="P692"/>
  <c r="O691"/>
  <c r="O690" s="1"/>
  <c r="N691"/>
  <c r="N690" s="1"/>
  <c r="M691"/>
  <c r="M690" s="1"/>
  <c r="L691"/>
  <c r="L690" s="1"/>
  <c r="K691"/>
  <c r="K690" s="1"/>
  <c r="J691"/>
  <c r="J690" s="1"/>
  <c r="U688"/>
  <c r="U687" s="1"/>
  <c r="U686" s="1"/>
  <c r="U685" s="1"/>
  <c r="T688"/>
  <c r="T687" s="1"/>
  <c r="T686" s="1"/>
  <c r="T685" s="1"/>
  <c r="S688"/>
  <c r="S687" s="1"/>
  <c r="R688"/>
  <c r="Q688"/>
  <c r="P688"/>
  <c r="P687" s="1"/>
  <c r="P686" s="1"/>
  <c r="P685" s="1"/>
  <c r="O687"/>
  <c r="O686" s="1"/>
  <c r="O685" s="1"/>
  <c r="N687"/>
  <c r="N686" s="1"/>
  <c r="N685" s="1"/>
  <c r="M687"/>
  <c r="M686" s="1"/>
  <c r="M685" s="1"/>
  <c r="L687"/>
  <c r="L686" s="1"/>
  <c r="L685" s="1"/>
  <c r="K687"/>
  <c r="K686" s="1"/>
  <c r="K685" s="1"/>
  <c r="J687"/>
  <c r="J686" s="1"/>
  <c r="J685" s="1"/>
  <c r="U684"/>
  <c r="U683" s="1"/>
  <c r="U682" s="1"/>
  <c r="U681" s="1"/>
  <c r="U680" s="1"/>
  <c r="T684"/>
  <c r="T683" s="1"/>
  <c r="T682" s="1"/>
  <c r="S684"/>
  <c r="S683" s="1"/>
  <c r="S682" s="1"/>
  <c r="S681" s="1"/>
  <c r="S680" s="1"/>
  <c r="R684"/>
  <c r="Q684"/>
  <c r="P684"/>
  <c r="O683"/>
  <c r="O682" s="1"/>
  <c r="O681" s="1"/>
  <c r="O680" s="1"/>
  <c r="N683"/>
  <c r="N682" s="1"/>
  <c r="N681" s="1"/>
  <c r="N680" s="1"/>
  <c r="M683"/>
  <c r="M682" s="1"/>
  <c r="M681" s="1"/>
  <c r="M680" s="1"/>
  <c r="L683"/>
  <c r="L682" s="1"/>
  <c r="L681" s="1"/>
  <c r="L680" s="1"/>
  <c r="K683"/>
  <c r="K682" s="1"/>
  <c r="K681" s="1"/>
  <c r="K680" s="1"/>
  <c r="J683"/>
  <c r="J682" s="1"/>
  <c r="J681" s="1"/>
  <c r="J680" s="1"/>
  <c r="U679"/>
  <c r="T679"/>
  <c r="T678" s="1"/>
  <c r="T677" s="1"/>
  <c r="S679"/>
  <c r="S678" s="1"/>
  <c r="S677" s="1"/>
  <c r="P679"/>
  <c r="P678" s="1"/>
  <c r="O678"/>
  <c r="O677" s="1"/>
  <c r="N678"/>
  <c r="N677" s="1"/>
  <c r="M678"/>
  <c r="M677" s="1"/>
  <c r="L678"/>
  <c r="L677" s="1"/>
  <c r="K678"/>
  <c r="K677" s="1"/>
  <c r="J678"/>
  <c r="J677" s="1"/>
  <c r="U676"/>
  <c r="U675" s="1"/>
  <c r="U674" s="1"/>
  <c r="T676"/>
  <c r="T675" s="1"/>
  <c r="T674" s="1"/>
  <c r="S676"/>
  <c r="S675" s="1"/>
  <c r="S674" s="1"/>
  <c r="R676"/>
  <c r="Q676"/>
  <c r="P676"/>
  <c r="U673"/>
  <c r="U672" s="1"/>
  <c r="U671" s="1"/>
  <c r="T673"/>
  <c r="T672" s="1"/>
  <c r="T671" s="1"/>
  <c r="S673"/>
  <c r="S672" s="1"/>
  <c r="S671" s="1"/>
  <c r="R673"/>
  <c r="R672" s="1"/>
  <c r="Q673"/>
  <c r="Q672" s="1"/>
  <c r="Q671" s="1"/>
  <c r="P673"/>
  <c r="P672" s="1"/>
  <c r="P671" s="1"/>
  <c r="O672"/>
  <c r="O671" s="1"/>
  <c r="N672"/>
  <c r="N671" s="1"/>
  <c r="M672"/>
  <c r="M671" s="1"/>
  <c r="L672"/>
  <c r="L671" s="1"/>
  <c r="K672"/>
  <c r="K671" s="1"/>
  <c r="J672"/>
  <c r="J671" s="1"/>
  <c r="U667"/>
  <c r="U666" s="1"/>
  <c r="U665" s="1"/>
  <c r="U664" s="1"/>
  <c r="T667"/>
  <c r="T666" s="1"/>
  <c r="T665" s="1"/>
  <c r="T664" s="1"/>
  <c r="S667"/>
  <c r="S666" s="1"/>
  <c r="S665" s="1"/>
  <c r="S664" s="1"/>
  <c r="R667"/>
  <c r="Q667"/>
  <c r="P667"/>
  <c r="P666" s="1"/>
  <c r="O666"/>
  <c r="O665" s="1"/>
  <c r="O664" s="1"/>
  <c r="N666"/>
  <c r="N665" s="1"/>
  <c r="N664" s="1"/>
  <c r="M666"/>
  <c r="M665" s="1"/>
  <c r="M664" s="1"/>
  <c r="L666"/>
  <c r="L665" s="1"/>
  <c r="L664" s="1"/>
  <c r="K666"/>
  <c r="K665" s="1"/>
  <c r="K664" s="1"/>
  <c r="J666"/>
  <c r="J665" s="1"/>
  <c r="J664" s="1"/>
  <c r="U663"/>
  <c r="U662" s="1"/>
  <c r="T663"/>
  <c r="T662" s="1"/>
  <c r="S663"/>
  <c r="S662" s="1"/>
  <c r="R663"/>
  <c r="Q663"/>
  <c r="Q662" s="1"/>
  <c r="P663"/>
  <c r="P662" s="1"/>
  <c r="O662"/>
  <c r="N662"/>
  <c r="M662"/>
  <c r="L662"/>
  <c r="K662"/>
  <c r="J662"/>
  <c r="U661"/>
  <c r="U660" s="1"/>
  <c r="T661"/>
  <c r="T660" s="1"/>
  <c r="S661"/>
  <c r="S660" s="1"/>
  <c r="R661"/>
  <c r="Q661"/>
  <c r="Q660" s="1"/>
  <c r="P661"/>
  <c r="P660" s="1"/>
  <c r="O660"/>
  <c r="O659" s="1"/>
  <c r="N660"/>
  <c r="M660"/>
  <c r="M659" s="1"/>
  <c r="L660"/>
  <c r="K660"/>
  <c r="K659" s="1"/>
  <c r="J660"/>
  <c r="U658"/>
  <c r="T658"/>
  <c r="T657" s="1"/>
  <c r="S658"/>
  <c r="S657" s="1"/>
  <c r="R658"/>
  <c r="R657" s="1"/>
  <c r="Q658"/>
  <c r="Q657" s="1"/>
  <c r="P658"/>
  <c r="P657" s="1"/>
  <c r="O657"/>
  <c r="N657"/>
  <c r="M657"/>
  <c r="L657"/>
  <c r="K657"/>
  <c r="J657"/>
  <c r="U656"/>
  <c r="U655" s="1"/>
  <c r="T656"/>
  <c r="T655" s="1"/>
  <c r="S656"/>
  <c r="S655" s="1"/>
  <c r="R656"/>
  <c r="Q656"/>
  <c r="Q655" s="1"/>
  <c r="P656"/>
  <c r="O655"/>
  <c r="O654" s="1"/>
  <c r="N655"/>
  <c r="N654" s="1"/>
  <c r="M655"/>
  <c r="M654" s="1"/>
  <c r="L655"/>
  <c r="K655"/>
  <c r="K654" s="1"/>
  <c r="J655"/>
  <c r="J654" s="1"/>
  <c r="U653"/>
  <c r="U652" s="1"/>
  <c r="U651" s="1"/>
  <c r="T653"/>
  <c r="S653"/>
  <c r="S652" s="1"/>
  <c r="S651" s="1"/>
  <c r="R653"/>
  <c r="R652" s="1"/>
  <c r="R651" s="1"/>
  <c r="Q653"/>
  <c r="Q652" s="1"/>
  <c r="Q651" s="1"/>
  <c r="P653"/>
  <c r="O652"/>
  <c r="O651" s="1"/>
  <c r="N652"/>
  <c r="N651" s="1"/>
  <c r="M652"/>
  <c r="M651" s="1"/>
  <c r="L652"/>
  <c r="L651" s="1"/>
  <c r="K652"/>
  <c r="K651" s="1"/>
  <c r="J652"/>
  <c r="J651" s="1"/>
  <c r="U645"/>
  <c r="U644" s="1"/>
  <c r="U643" s="1"/>
  <c r="U642" s="1"/>
  <c r="T645"/>
  <c r="T644" s="1"/>
  <c r="T643" s="1"/>
  <c r="T642" s="1"/>
  <c r="S645"/>
  <c r="S644" s="1"/>
  <c r="S643" s="1"/>
  <c r="S642" s="1"/>
  <c r="R645"/>
  <c r="Q645"/>
  <c r="P645"/>
  <c r="P644" s="1"/>
  <c r="P643" s="1"/>
  <c r="O644"/>
  <c r="O643" s="1"/>
  <c r="O642" s="1"/>
  <c r="N644"/>
  <c r="N643" s="1"/>
  <c r="N642" s="1"/>
  <c r="M644"/>
  <c r="M643" s="1"/>
  <c r="M642" s="1"/>
  <c r="L644"/>
  <c r="L643" s="1"/>
  <c r="L642" s="1"/>
  <c r="K644"/>
  <c r="K643" s="1"/>
  <c r="K642" s="1"/>
  <c r="J644"/>
  <c r="J643" s="1"/>
  <c r="J642" s="1"/>
  <c r="U641"/>
  <c r="T641"/>
  <c r="T640" s="1"/>
  <c r="T639" s="1"/>
  <c r="S641"/>
  <c r="S640" s="1"/>
  <c r="S639" s="1"/>
  <c r="R641"/>
  <c r="R640" s="1"/>
  <c r="R639" s="1"/>
  <c r="Q641"/>
  <c r="P641"/>
  <c r="P640" s="1"/>
  <c r="O640"/>
  <c r="O639" s="1"/>
  <c r="N640"/>
  <c r="N639" s="1"/>
  <c r="M640"/>
  <c r="M639" s="1"/>
  <c r="L640"/>
  <c r="L639" s="1"/>
  <c r="K640"/>
  <c r="K639" s="1"/>
  <c r="J640"/>
  <c r="J639" s="1"/>
  <c r="U638"/>
  <c r="U637" s="1"/>
  <c r="U636" s="1"/>
  <c r="T638"/>
  <c r="T637" s="1"/>
  <c r="T636" s="1"/>
  <c r="S638"/>
  <c r="R638"/>
  <c r="Q638"/>
  <c r="Q637" s="1"/>
  <c r="Q636" s="1"/>
  <c r="P638"/>
  <c r="S637"/>
  <c r="S636" s="1"/>
  <c r="O637"/>
  <c r="O636" s="1"/>
  <c r="N637"/>
  <c r="N636" s="1"/>
  <c r="M637"/>
  <c r="M636" s="1"/>
  <c r="L637"/>
  <c r="L636" s="1"/>
  <c r="K637"/>
  <c r="K636" s="1"/>
  <c r="J637"/>
  <c r="J636"/>
  <c r="U635"/>
  <c r="U634" s="1"/>
  <c r="U633" s="1"/>
  <c r="T635"/>
  <c r="T634" s="1"/>
  <c r="S635"/>
  <c r="R635"/>
  <c r="R634" s="1"/>
  <c r="Q635"/>
  <c r="Q634" s="1"/>
  <c r="Q633" s="1"/>
  <c r="P635"/>
  <c r="P634" s="1"/>
  <c r="P633" s="1"/>
  <c r="O634"/>
  <c r="O633" s="1"/>
  <c r="N634"/>
  <c r="N633" s="1"/>
  <c r="M634"/>
  <c r="M633" s="1"/>
  <c r="L634"/>
  <c r="L633" s="1"/>
  <c r="K634"/>
  <c r="K633" s="1"/>
  <c r="J634"/>
  <c r="J633" s="1"/>
  <c r="U629"/>
  <c r="U628" s="1"/>
  <c r="U627" s="1"/>
  <c r="T629"/>
  <c r="S629"/>
  <c r="S628" s="1"/>
  <c r="S627" s="1"/>
  <c r="R629"/>
  <c r="Q629"/>
  <c r="Q628" s="1"/>
  <c r="Q627" s="1"/>
  <c r="P629"/>
  <c r="U626"/>
  <c r="U625" s="1"/>
  <c r="U624" s="1"/>
  <c r="T626"/>
  <c r="T625" s="1"/>
  <c r="T624" s="1"/>
  <c r="S626"/>
  <c r="R626"/>
  <c r="R625" s="1"/>
  <c r="Q626"/>
  <c r="Q625" s="1"/>
  <c r="P626"/>
  <c r="P625" s="1"/>
  <c r="P624" s="1"/>
  <c r="U623"/>
  <c r="U622" s="1"/>
  <c r="T623"/>
  <c r="T622" s="1"/>
  <c r="S623"/>
  <c r="R623"/>
  <c r="Q623"/>
  <c r="P623"/>
  <c r="P622" s="1"/>
  <c r="O622"/>
  <c r="N622"/>
  <c r="M622"/>
  <c r="L622"/>
  <c r="K622"/>
  <c r="J622"/>
  <c r="U621"/>
  <c r="U620" s="1"/>
  <c r="U619" s="1"/>
  <c r="T621"/>
  <c r="T620" s="1"/>
  <c r="S621"/>
  <c r="S620" s="1"/>
  <c r="R621"/>
  <c r="Q621"/>
  <c r="P621"/>
  <c r="P620" s="1"/>
  <c r="O620"/>
  <c r="N620"/>
  <c r="M620"/>
  <c r="L620"/>
  <c r="L619" s="1"/>
  <c r="L618" s="1"/>
  <c r="K620"/>
  <c r="J620"/>
  <c r="M619"/>
  <c r="M618" s="1"/>
  <c r="U617"/>
  <c r="U616" s="1"/>
  <c r="U615" s="1"/>
  <c r="U614" s="1"/>
  <c r="U613" s="1"/>
  <c r="T617"/>
  <c r="T616" s="1"/>
  <c r="T615" s="1"/>
  <c r="T614" s="1"/>
  <c r="T613" s="1"/>
  <c r="S617"/>
  <c r="P617"/>
  <c r="P616" s="1"/>
  <c r="O616"/>
  <c r="O615" s="1"/>
  <c r="O614" s="1"/>
  <c r="O613" s="1"/>
  <c r="N616"/>
  <c r="N615" s="1"/>
  <c r="N614" s="1"/>
  <c r="N613" s="1"/>
  <c r="M616"/>
  <c r="M615" s="1"/>
  <c r="M614" s="1"/>
  <c r="M613" s="1"/>
  <c r="L616"/>
  <c r="L615" s="1"/>
  <c r="L614" s="1"/>
  <c r="L613" s="1"/>
  <c r="K616"/>
  <c r="K615" s="1"/>
  <c r="K614" s="1"/>
  <c r="K613" s="1"/>
  <c r="J616"/>
  <c r="J615" s="1"/>
  <c r="J614" s="1"/>
  <c r="J613" s="1"/>
  <c r="U612"/>
  <c r="T612"/>
  <c r="T611" s="1"/>
  <c r="T610" s="1"/>
  <c r="S612"/>
  <c r="S611" s="1"/>
  <c r="S610" s="1"/>
  <c r="R612"/>
  <c r="R611" s="1"/>
  <c r="R610" s="1"/>
  <c r="Q612"/>
  <c r="P612"/>
  <c r="P611" s="1"/>
  <c r="O611"/>
  <c r="O610" s="1"/>
  <c r="N611"/>
  <c r="N610" s="1"/>
  <c r="M611"/>
  <c r="M610" s="1"/>
  <c r="L611"/>
  <c r="L610" s="1"/>
  <c r="K611"/>
  <c r="K610" s="1"/>
  <c r="J611"/>
  <c r="J610" s="1"/>
  <c r="U609"/>
  <c r="U608" s="1"/>
  <c r="T609"/>
  <c r="T608" s="1"/>
  <c r="S609"/>
  <c r="S608" s="1"/>
  <c r="R609"/>
  <c r="Q609"/>
  <c r="P609"/>
  <c r="O608"/>
  <c r="N608"/>
  <c r="M608"/>
  <c r="L608"/>
  <c r="K608"/>
  <c r="J608"/>
  <c r="U607"/>
  <c r="U606" s="1"/>
  <c r="T607"/>
  <c r="S607"/>
  <c r="S606" s="1"/>
  <c r="R607"/>
  <c r="Q607"/>
  <c r="Q606" s="1"/>
  <c r="P607"/>
  <c r="P606" s="1"/>
  <c r="O606"/>
  <c r="N606"/>
  <c r="M606"/>
  <c r="L606"/>
  <c r="K606"/>
  <c r="J606"/>
  <c r="U605"/>
  <c r="U604" s="1"/>
  <c r="T605"/>
  <c r="T604" s="1"/>
  <c r="S605"/>
  <c r="R605"/>
  <c r="Q605"/>
  <c r="P605"/>
  <c r="P604" s="1"/>
  <c r="O604"/>
  <c r="N604"/>
  <c r="N603" s="1"/>
  <c r="M604"/>
  <c r="L604"/>
  <c r="L603" s="1"/>
  <c r="K604"/>
  <c r="J604"/>
  <c r="J603" s="1"/>
  <c r="J602" s="1"/>
  <c r="U596"/>
  <c r="U595" s="1"/>
  <c r="U594" s="1"/>
  <c r="T596"/>
  <c r="S596"/>
  <c r="S595" s="1"/>
  <c r="S594" s="1"/>
  <c r="P596"/>
  <c r="O595"/>
  <c r="O594" s="1"/>
  <c r="N595"/>
  <c r="N594" s="1"/>
  <c r="M595"/>
  <c r="M594" s="1"/>
  <c r="L595"/>
  <c r="L594" s="1"/>
  <c r="K595"/>
  <c r="K594" s="1"/>
  <c r="J595"/>
  <c r="J594" s="1"/>
  <c r="U593"/>
  <c r="U592" s="1"/>
  <c r="U591" s="1"/>
  <c r="T593"/>
  <c r="S593"/>
  <c r="S592" s="1"/>
  <c r="S591" s="1"/>
  <c r="R593"/>
  <c r="Q593"/>
  <c r="Q592" s="1"/>
  <c r="Q591" s="1"/>
  <c r="P593"/>
  <c r="P592" s="1"/>
  <c r="O592"/>
  <c r="O591" s="1"/>
  <c r="N592"/>
  <c r="N591" s="1"/>
  <c r="M592"/>
  <c r="M591" s="1"/>
  <c r="L592"/>
  <c r="L591" s="1"/>
  <c r="K592"/>
  <c r="K591" s="1"/>
  <c r="J592"/>
  <c r="J591" s="1"/>
  <c r="U590"/>
  <c r="T590"/>
  <c r="S590"/>
  <c r="R590"/>
  <c r="Q590"/>
  <c r="P590"/>
  <c r="U589"/>
  <c r="T589"/>
  <c r="S589"/>
  <c r="R589"/>
  <c r="Q589"/>
  <c r="P589"/>
  <c r="O588"/>
  <c r="N588"/>
  <c r="M588"/>
  <c r="L588"/>
  <c r="K588"/>
  <c r="J588"/>
  <c r="U587"/>
  <c r="U586" s="1"/>
  <c r="T587"/>
  <c r="T586" s="1"/>
  <c r="S587"/>
  <c r="S586" s="1"/>
  <c r="R587"/>
  <c r="Q587"/>
  <c r="Q586" s="1"/>
  <c r="P587"/>
  <c r="M587"/>
  <c r="M586" s="1"/>
  <c r="L587"/>
  <c r="L586" s="1"/>
  <c r="K587"/>
  <c r="K586" s="1"/>
  <c r="J587"/>
  <c r="J586" s="1"/>
  <c r="O586"/>
  <c r="N586"/>
  <c r="U585"/>
  <c r="U584" s="1"/>
  <c r="T585"/>
  <c r="T584" s="1"/>
  <c r="S585"/>
  <c r="S584" s="1"/>
  <c r="R585"/>
  <c r="Q585"/>
  <c r="P585"/>
  <c r="P584" s="1"/>
  <c r="L585"/>
  <c r="L584" s="1"/>
  <c r="K585"/>
  <c r="K584" s="1"/>
  <c r="J585"/>
  <c r="J584" s="1"/>
  <c r="O584"/>
  <c r="N584"/>
  <c r="M584"/>
  <c r="U582"/>
  <c r="T582"/>
  <c r="T581" s="1"/>
  <c r="T580" s="1"/>
  <c r="S582"/>
  <c r="S581" s="1"/>
  <c r="S580" s="1"/>
  <c r="R582"/>
  <c r="R581" s="1"/>
  <c r="Q582"/>
  <c r="Q581" s="1"/>
  <c r="P582"/>
  <c r="O581"/>
  <c r="O580" s="1"/>
  <c r="N581"/>
  <c r="N580" s="1"/>
  <c r="M581"/>
  <c r="M580" s="1"/>
  <c r="L581"/>
  <c r="L580" s="1"/>
  <c r="K581"/>
  <c r="K580" s="1"/>
  <c r="J581"/>
  <c r="J580" s="1"/>
  <c r="U576"/>
  <c r="U575" s="1"/>
  <c r="U574" s="1"/>
  <c r="U573" s="1"/>
  <c r="T576"/>
  <c r="T575" s="1"/>
  <c r="T574" s="1"/>
  <c r="T573" s="1"/>
  <c r="S576"/>
  <c r="S575" s="1"/>
  <c r="S574" s="1"/>
  <c r="S573" s="1"/>
  <c r="R576"/>
  <c r="Q576"/>
  <c r="P576"/>
  <c r="P575" s="1"/>
  <c r="P574" s="1"/>
  <c r="P573" s="1"/>
  <c r="O575"/>
  <c r="O574" s="1"/>
  <c r="O573" s="1"/>
  <c r="N575"/>
  <c r="N574" s="1"/>
  <c r="N573" s="1"/>
  <c r="M575"/>
  <c r="M574" s="1"/>
  <c r="M573" s="1"/>
  <c r="L575"/>
  <c r="L574" s="1"/>
  <c r="L573" s="1"/>
  <c r="K575"/>
  <c r="K574" s="1"/>
  <c r="K573" s="1"/>
  <c r="J575"/>
  <c r="J574" s="1"/>
  <c r="J573" s="1"/>
  <c r="U572"/>
  <c r="U571" s="1"/>
  <c r="U570" s="1"/>
  <c r="T572"/>
  <c r="T571" s="1"/>
  <c r="T570" s="1"/>
  <c r="S572"/>
  <c r="S571" s="1"/>
  <c r="S570" s="1"/>
  <c r="R572"/>
  <c r="R571" s="1"/>
  <c r="R570" s="1"/>
  <c r="Q572"/>
  <c r="Q571" s="1"/>
  <c r="P572"/>
  <c r="P571" s="1"/>
  <c r="O571"/>
  <c r="O570" s="1"/>
  <c r="N571"/>
  <c r="N570" s="1"/>
  <c r="M571"/>
  <c r="M570" s="1"/>
  <c r="L571"/>
  <c r="L570" s="1"/>
  <c r="K571"/>
  <c r="K570" s="1"/>
  <c r="J571"/>
  <c r="J570" s="1"/>
  <c r="U569"/>
  <c r="U568" s="1"/>
  <c r="U567" s="1"/>
  <c r="T569"/>
  <c r="T568" s="1"/>
  <c r="T567" s="1"/>
  <c r="S569"/>
  <c r="S568" s="1"/>
  <c r="S567" s="1"/>
  <c r="R569"/>
  <c r="Q569"/>
  <c r="Q568" s="1"/>
  <c r="Q567" s="1"/>
  <c r="P569"/>
  <c r="P568" s="1"/>
  <c r="O568"/>
  <c r="O567" s="1"/>
  <c r="O566" s="1"/>
  <c r="N568"/>
  <c r="N567" s="1"/>
  <c r="N566" s="1"/>
  <c r="M568"/>
  <c r="M567" s="1"/>
  <c r="M566" s="1"/>
  <c r="L568"/>
  <c r="L567" s="1"/>
  <c r="K568"/>
  <c r="K567" s="1"/>
  <c r="K566" s="1"/>
  <c r="J568"/>
  <c r="J567"/>
  <c r="J566" s="1"/>
  <c r="U562"/>
  <c r="U561" s="1"/>
  <c r="T562"/>
  <c r="T561" s="1"/>
  <c r="S562"/>
  <c r="S561" s="1"/>
  <c r="R562"/>
  <c r="R561" s="1"/>
  <c r="Q562"/>
  <c r="Q561" s="1"/>
  <c r="P562"/>
  <c r="O561"/>
  <c r="N561"/>
  <c r="M561"/>
  <c r="L561"/>
  <c r="K561"/>
  <c r="J561"/>
  <c r="U560"/>
  <c r="U559" s="1"/>
  <c r="U556" s="1"/>
  <c r="T560"/>
  <c r="T559" s="1"/>
  <c r="T556" s="1"/>
  <c r="S560"/>
  <c r="R560"/>
  <c r="Q560"/>
  <c r="Q559" s="1"/>
  <c r="P560"/>
  <c r="P559" s="1"/>
  <c r="O559"/>
  <c r="N559"/>
  <c r="M559"/>
  <c r="L559"/>
  <c r="K559"/>
  <c r="J559"/>
  <c r="U554"/>
  <c r="U553" s="1"/>
  <c r="U552" s="1"/>
  <c r="T554"/>
  <c r="T553" s="1"/>
  <c r="T552" s="1"/>
  <c r="T551" s="1"/>
  <c r="S554"/>
  <c r="S553" s="1"/>
  <c r="S552" s="1"/>
  <c r="S551" s="1"/>
  <c r="R554"/>
  <c r="R553" s="1"/>
  <c r="R552" s="1"/>
  <c r="R551" s="1"/>
  <c r="Q554"/>
  <c r="P554"/>
  <c r="P553" s="1"/>
  <c r="P552" s="1"/>
  <c r="O553"/>
  <c r="O552" s="1"/>
  <c r="O551" s="1"/>
  <c r="N553"/>
  <c r="N552" s="1"/>
  <c r="N551" s="1"/>
  <c r="M553"/>
  <c r="M552" s="1"/>
  <c r="M551" s="1"/>
  <c r="L553"/>
  <c r="L552" s="1"/>
  <c r="L551" s="1"/>
  <c r="K553"/>
  <c r="K552" s="1"/>
  <c r="K551" s="1"/>
  <c r="J553"/>
  <c r="J552" s="1"/>
  <c r="J551" s="1"/>
  <c r="U548"/>
  <c r="U547" s="1"/>
  <c r="U546" s="1"/>
  <c r="T548"/>
  <c r="T547" s="1"/>
  <c r="T546" s="1"/>
  <c r="S548"/>
  <c r="S547" s="1"/>
  <c r="S546" s="1"/>
  <c r="P548"/>
  <c r="P547" s="1"/>
  <c r="O547"/>
  <c r="O546" s="1"/>
  <c r="N547"/>
  <c r="N546" s="1"/>
  <c r="M547"/>
  <c r="M546" s="1"/>
  <c r="L547"/>
  <c r="L546" s="1"/>
  <c r="K547"/>
  <c r="K546" s="1"/>
  <c r="J547"/>
  <c r="J546" s="1"/>
  <c r="U545"/>
  <c r="U544" s="1"/>
  <c r="U543" s="1"/>
  <c r="T545"/>
  <c r="T544" s="1"/>
  <c r="T543" s="1"/>
  <c r="S545"/>
  <c r="S544" s="1"/>
  <c r="S543" s="1"/>
  <c r="R545"/>
  <c r="R544" s="1"/>
  <c r="R543" s="1"/>
  <c r="Q545"/>
  <c r="P545"/>
  <c r="O544"/>
  <c r="O543" s="1"/>
  <c r="N544"/>
  <c r="N543" s="1"/>
  <c r="M544"/>
  <c r="M543" s="1"/>
  <c r="L544"/>
  <c r="L543" s="1"/>
  <c r="K544"/>
  <c r="K543" s="1"/>
  <c r="J544"/>
  <c r="J543" s="1"/>
  <c r="U542"/>
  <c r="U541" s="1"/>
  <c r="U540" s="1"/>
  <c r="T542"/>
  <c r="S542"/>
  <c r="S541" s="1"/>
  <c r="S540" s="1"/>
  <c r="R542"/>
  <c r="R541" s="1"/>
  <c r="R540" s="1"/>
  <c r="Q542"/>
  <c r="Q541" s="1"/>
  <c r="Q540" s="1"/>
  <c r="P542"/>
  <c r="O541"/>
  <c r="O540" s="1"/>
  <c r="N541"/>
  <c r="N540" s="1"/>
  <c r="M541"/>
  <c r="M540" s="1"/>
  <c r="L541"/>
  <c r="L540" s="1"/>
  <c r="K541"/>
  <c r="K540" s="1"/>
  <c r="J541"/>
  <c r="J540" s="1"/>
  <c r="U539"/>
  <c r="U538" s="1"/>
  <c r="U537" s="1"/>
  <c r="T539"/>
  <c r="T538" s="1"/>
  <c r="T537" s="1"/>
  <c r="S539"/>
  <c r="S538" s="1"/>
  <c r="S537" s="1"/>
  <c r="R539"/>
  <c r="R538" s="1"/>
  <c r="Q539"/>
  <c r="Q538" s="1"/>
  <c r="Q537" s="1"/>
  <c r="P539"/>
  <c r="O538"/>
  <c r="O537" s="1"/>
  <c r="N538"/>
  <c r="N537" s="1"/>
  <c r="M538"/>
  <c r="M537" s="1"/>
  <c r="L538"/>
  <c r="L537" s="1"/>
  <c r="K538"/>
  <c r="K537" s="1"/>
  <c r="J538"/>
  <c r="J537" s="1"/>
  <c r="U536"/>
  <c r="U535" s="1"/>
  <c r="U534" s="1"/>
  <c r="T536"/>
  <c r="T535" s="1"/>
  <c r="T534" s="1"/>
  <c r="S536"/>
  <c r="S535" s="1"/>
  <c r="S534" s="1"/>
  <c r="R536"/>
  <c r="Q536"/>
  <c r="L536"/>
  <c r="L535" s="1"/>
  <c r="L534" s="1"/>
  <c r="K536"/>
  <c r="K535" s="1"/>
  <c r="K534" s="1"/>
  <c r="J536"/>
  <c r="J535" s="1"/>
  <c r="J534" s="1"/>
  <c r="O535"/>
  <c r="O534" s="1"/>
  <c r="N535"/>
  <c r="N534" s="1"/>
  <c r="M535"/>
  <c r="M534" s="1"/>
  <c r="U533"/>
  <c r="U532" s="1"/>
  <c r="U531" s="1"/>
  <c r="T533"/>
  <c r="T532" s="1"/>
  <c r="T531" s="1"/>
  <c r="S533"/>
  <c r="S532" s="1"/>
  <c r="S531" s="1"/>
  <c r="R533"/>
  <c r="R532" s="1"/>
  <c r="R531" s="1"/>
  <c r="Q533"/>
  <c r="Q532" s="1"/>
  <c r="Q531" s="1"/>
  <c r="P533"/>
  <c r="P532" s="1"/>
  <c r="O532"/>
  <c r="O531" s="1"/>
  <c r="N532"/>
  <c r="N531" s="1"/>
  <c r="M532"/>
  <c r="M531" s="1"/>
  <c r="L532"/>
  <c r="L531" s="1"/>
  <c r="K532"/>
  <c r="K531" s="1"/>
  <c r="J532"/>
  <c r="J531" s="1"/>
  <c r="S526"/>
  <c r="S525" s="1"/>
  <c r="R526"/>
  <c r="R525" s="1"/>
  <c r="Q526"/>
  <c r="Q525" s="1"/>
  <c r="P526"/>
  <c r="O525"/>
  <c r="N525"/>
  <c r="M525"/>
  <c r="L525"/>
  <c r="K525"/>
  <c r="K522" s="1"/>
  <c r="K521" s="1"/>
  <c r="K520" s="1"/>
  <c r="K519" s="1"/>
  <c r="J525"/>
  <c r="S524"/>
  <c r="S523" s="1"/>
  <c r="R524"/>
  <c r="R523" s="1"/>
  <c r="Q524"/>
  <c r="Q523" s="1"/>
  <c r="M524"/>
  <c r="M523" s="1"/>
  <c r="L524"/>
  <c r="L523" s="1"/>
  <c r="L522" s="1"/>
  <c r="L521" s="1"/>
  <c r="L520" s="1"/>
  <c r="L519" s="1"/>
  <c r="K524"/>
  <c r="K523" s="1"/>
  <c r="J524"/>
  <c r="J523" s="1"/>
  <c r="J522" s="1"/>
  <c r="J521" s="1"/>
  <c r="J520" s="1"/>
  <c r="J519" s="1"/>
  <c r="O523"/>
  <c r="N523"/>
  <c r="N522" s="1"/>
  <c r="N521" s="1"/>
  <c r="N520" s="1"/>
  <c r="N519" s="1"/>
  <c r="U517"/>
  <c r="U516" s="1"/>
  <c r="U515" s="1"/>
  <c r="T517"/>
  <c r="T516" s="1"/>
  <c r="T515" s="1"/>
  <c r="S517"/>
  <c r="S516" s="1"/>
  <c r="S515" s="1"/>
  <c r="P517"/>
  <c r="O516"/>
  <c r="O515" s="1"/>
  <c r="N516"/>
  <c r="N515" s="1"/>
  <c r="M516"/>
  <c r="M515" s="1"/>
  <c r="L516"/>
  <c r="L515" s="1"/>
  <c r="K516"/>
  <c r="K515" s="1"/>
  <c r="J516"/>
  <c r="J515" s="1"/>
  <c r="U514"/>
  <c r="U513" s="1"/>
  <c r="U512" s="1"/>
  <c r="T514"/>
  <c r="T513" s="1"/>
  <c r="T512" s="1"/>
  <c r="S514"/>
  <c r="S513" s="1"/>
  <c r="S512" s="1"/>
  <c r="P514"/>
  <c r="P513" s="1"/>
  <c r="P512" s="1"/>
  <c r="O513"/>
  <c r="O512" s="1"/>
  <c r="N513"/>
  <c r="N512" s="1"/>
  <c r="M513"/>
  <c r="M512" s="1"/>
  <c r="L513"/>
  <c r="L512" s="1"/>
  <c r="K513"/>
  <c r="K512" s="1"/>
  <c r="J513"/>
  <c r="J512" s="1"/>
  <c r="U511"/>
  <c r="U510" s="1"/>
  <c r="U509" s="1"/>
  <c r="T511"/>
  <c r="T510" s="1"/>
  <c r="T509" s="1"/>
  <c r="S511"/>
  <c r="R511"/>
  <c r="Q511"/>
  <c r="Q510" s="1"/>
  <c r="P511"/>
  <c r="P510" s="1"/>
  <c r="P509" s="1"/>
  <c r="S510"/>
  <c r="S509" s="1"/>
  <c r="U508"/>
  <c r="T508"/>
  <c r="T507" s="1"/>
  <c r="S508"/>
  <c r="S507" s="1"/>
  <c r="R508"/>
  <c r="R507" s="1"/>
  <c r="Q508"/>
  <c r="P508"/>
  <c r="P507" s="1"/>
  <c r="O507"/>
  <c r="N507"/>
  <c r="M507"/>
  <c r="L507"/>
  <c r="K507"/>
  <c r="J507"/>
  <c r="U506"/>
  <c r="U505" s="1"/>
  <c r="T506"/>
  <c r="S506"/>
  <c r="S505" s="1"/>
  <c r="R506"/>
  <c r="R505" s="1"/>
  <c r="Q506"/>
  <c r="Q505" s="1"/>
  <c r="P506"/>
  <c r="O505"/>
  <c r="N505"/>
  <c r="M505"/>
  <c r="L505"/>
  <c r="K505"/>
  <c r="J505"/>
  <c r="U504"/>
  <c r="U503" s="1"/>
  <c r="T504"/>
  <c r="T503" s="1"/>
  <c r="S504"/>
  <c r="S503" s="1"/>
  <c r="R504"/>
  <c r="Q504"/>
  <c r="P504"/>
  <c r="O503"/>
  <c r="O502" s="1"/>
  <c r="N503"/>
  <c r="M503"/>
  <c r="L503"/>
  <c r="K503"/>
  <c r="K502" s="1"/>
  <c r="J503"/>
  <c r="U500"/>
  <c r="U499" s="1"/>
  <c r="U498" s="1"/>
  <c r="U497" s="1"/>
  <c r="U496" s="1"/>
  <c r="T500"/>
  <c r="T499" s="1"/>
  <c r="T498" s="1"/>
  <c r="T497" s="1"/>
  <c r="T496" s="1"/>
  <c r="S500"/>
  <c r="O499"/>
  <c r="O498" s="1"/>
  <c r="O497" s="1"/>
  <c r="O496" s="1"/>
  <c r="N499"/>
  <c r="N498" s="1"/>
  <c r="N497" s="1"/>
  <c r="N496" s="1"/>
  <c r="M499"/>
  <c r="M498" s="1"/>
  <c r="M497" s="1"/>
  <c r="M496" s="1"/>
  <c r="L499"/>
  <c r="L498" s="1"/>
  <c r="L497" s="1"/>
  <c r="L496" s="1"/>
  <c r="K499"/>
  <c r="K498" s="1"/>
  <c r="K497" s="1"/>
  <c r="K496" s="1"/>
  <c r="J499"/>
  <c r="J498" s="1"/>
  <c r="J497" s="1"/>
  <c r="J496" s="1"/>
  <c r="U495"/>
  <c r="U494" s="1"/>
  <c r="U493" s="1"/>
  <c r="T495"/>
  <c r="T494" s="1"/>
  <c r="T493" s="1"/>
  <c r="S495"/>
  <c r="S494" s="1"/>
  <c r="S493" s="1"/>
  <c r="P495"/>
  <c r="P494" s="1"/>
  <c r="O494"/>
  <c r="O493" s="1"/>
  <c r="N494"/>
  <c r="N493" s="1"/>
  <c r="M494"/>
  <c r="M493" s="1"/>
  <c r="L494"/>
  <c r="L493" s="1"/>
  <c r="K494"/>
  <c r="K493" s="1"/>
  <c r="J494"/>
  <c r="J493" s="1"/>
  <c r="U492"/>
  <c r="U491" s="1"/>
  <c r="U490" s="1"/>
  <c r="T492"/>
  <c r="T491" s="1"/>
  <c r="T490" s="1"/>
  <c r="S492"/>
  <c r="Q492"/>
  <c r="Q491" s="1"/>
  <c r="Q490" s="1"/>
  <c r="P492"/>
  <c r="P491" s="1"/>
  <c r="P490" s="1"/>
  <c r="O491"/>
  <c r="O490" s="1"/>
  <c r="N491"/>
  <c r="N490" s="1"/>
  <c r="M491"/>
  <c r="M490" s="1"/>
  <c r="L491"/>
  <c r="L490" s="1"/>
  <c r="K491"/>
  <c r="K490" s="1"/>
  <c r="J491"/>
  <c r="J490" s="1"/>
  <c r="U487"/>
  <c r="U486" s="1"/>
  <c r="U485" s="1"/>
  <c r="U484" s="1"/>
  <c r="T487"/>
  <c r="T486" s="1"/>
  <c r="T485" s="1"/>
  <c r="T484" s="1"/>
  <c r="S487"/>
  <c r="S486" s="1"/>
  <c r="S485" s="1"/>
  <c r="S484" s="1"/>
  <c r="R487"/>
  <c r="R486" s="1"/>
  <c r="R485" s="1"/>
  <c r="Q487"/>
  <c r="P487"/>
  <c r="L487"/>
  <c r="L486" s="1"/>
  <c r="L485" s="1"/>
  <c r="L484" s="1"/>
  <c r="K487"/>
  <c r="K486" s="1"/>
  <c r="K485" s="1"/>
  <c r="K484" s="1"/>
  <c r="J487"/>
  <c r="J486" s="1"/>
  <c r="J485" s="1"/>
  <c r="J484" s="1"/>
  <c r="O486"/>
  <c r="O485" s="1"/>
  <c r="O484" s="1"/>
  <c r="N486"/>
  <c r="N485" s="1"/>
  <c r="N484" s="1"/>
  <c r="M486"/>
  <c r="M485" s="1"/>
  <c r="M484" s="1"/>
  <c r="U481"/>
  <c r="U480" s="1"/>
  <c r="U479" s="1"/>
  <c r="U478" s="1"/>
  <c r="U477" s="1"/>
  <c r="O21" i="6" s="1"/>
  <c r="T481" i="5"/>
  <c r="T480" s="1"/>
  <c r="T479" s="1"/>
  <c r="T478" s="1"/>
  <c r="T477" s="1"/>
  <c r="N21" i="6" s="1"/>
  <c r="S481" i="5"/>
  <c r="S480" s="1"/>
  <c r="S479" s="1"/>
  <c r="S478" s="1"/>
  <c r="S477" s="1"/>
  <c r="M21" i="6" s="1"/>
  <c r="R481" i="5"/>
  <c r="R480" s="1"/>
  <c r="R479" s="1"/>
  <c r="Q481"/>
  <c r="P481"/>
  <c r="P480" s="1"/>
  <c r="O480"/>
  <c r="O479" s="1"/>
  <c r="O478" s="1"/>
  <c r="O477" s="1"/>
  <c r="I21" i="6" s="1"/>
  <c r="N480" i="5"/>
  <c r="N479" s="1"/>
  <c r="N478" s="1"/>
  <c r="N477" s="1"/>
  <c r="H21" i="6" s="1"/>
  <c r="M480" i="5"/>
  <c r="M479" s="1"/>
  <c r="M478" s="1"/>
  <c r="M477" s="1"/>
  <c r="G21" i="6" s="1"/>
  <c r="L480" i="5"/>
  <c r="L479" s="1"/>
  <c r="L478" s="1"/>
  <c r="L477" s="1"/>
  <c r="F21" i="6" s="1"/>
  <c r="K480" i="5"/>
  <c r="K479" s="1"/>
  <c r="K478" s="1"/>
  <c r="K477" s="1"/>
  <c r="E21" i="6" s="1"/>
  <c r="J480" i="5"/>
  <c r="J479" s="1"/>
  <c r="J478" s="1"/>
  <c r="J477" s="1"/>
  <c r="D21" i="6" s="1"/>
  <c r="U475" i="5"/>
  <c r="U474" s="1"/>
  <c r="T475"/>
  <c r="T474" s="1"/>
  <c r="S475"/>
  <c r="S474" s="1"/>
  <c r="R475"/>
  <c r="R474" s="1"/>
  <c r="Q475"/>
  <c r="Q474" s="1"/>
  <c r="P475"/>
  <c r="P474" s="1"/>
  <c r="O474"/>
  <c r="N474"/>
  <c r="M474"/>
  <c r="L474"/>
  <c r="K474"/>
  <c r="J474"/>
  <c r="U473"/>
  <c r="T473"/>
  <c r="T472" s="1"/>
  <c r="S473"/>
  <c r="S472" s="1"/>
  <c r="R473"/>
  <c r="R472" s="1"/>
  <c r="Q473"/>
  <c r="P473"/>
  <c r="L473"/>
  <c r="L472" s="1"/>
  <c r="L471" s="1"/>
  <c r="K473"/>
  <c r="K472" s="1"/>
  <c r="J473"/>
  <c r="J472" s="1"/>
  <c r="J471" s="1"/>
  <c r="O472"/>
  <c r="N472"/>
  <c r="M472"/>
  <c r="U470"/>
  <c r="U469" s="1"/>
  <c r="T470"/>
  <c r="T469" s="1"/>
  <c r="S470"/>
  <c r="S469" s="1"/>
  <c r="R470"/>
  <c r="Q470"/>
  <c r="Q469" s="1"/>
  <c r="P470"/>
  <c r="O469"/>
  <c r="N469"/>
  <c r="M469"/>
  <c r="L469"/>
  <c r="K469"/>
  <c r="J469"/>
  <c r="U468"/>
  <c r="U467" s="1"/>
  <c r="T468"/>
  <c r="T467" s="1"/>
  <c r="S468"/>
  <c r="R468"/>
  <c r="R467" s="1"/>
  <c r="Q468"/>
  <c r="Q467" s="1"/>
  <c r="P468"/>
  <c r="P467" s="1"/>
  <c r="L468"/>
  <c r="L467" s="1"/>
  <c r="K468"/>
  <c r="K467" s="1"/>
  <c r="J468"/>
  <c r="J467" s="1"/>
  <c r="O467"/>
  <c r="N467"/>
  <c r="M467"/>
  <c r="U465"/>
  <c r="U464" s="1"/>
  <c r="T465"/>
  <c r="S465"/>
  <c r="S464" s="1"/>
  <c r="R465"/>
  <c r="R464" s="1"/>
  <c r="Q465"/>
  <c r="Q464" s="1"/>
  <c r="P465"/>
  <c r="O464"/>
  <c r="N464"/>
  <c r="N461" s="1"/>
  <c r="M464"/>
  <c r="L464"/>
  <c r="K464"/>
  <c r="J464"/>
  <c r="U463"/>
  <c r="U462" s="1"/>
  <c r="T463"/>
  <c r="T462" s="1"/>
  <c r="S463"/>
  <c r="S462" s="1"/>
  <c r="R463"/>
  <c r="Q463"/>
  <c r="P463"/>
  <c r="P462" s="1"/>
  <c r="L463"/>
  <c r="L462" s="1"/>
  <c r="K463"/>
  <c r="K462" s="1"/>
  <c r="K461" s="1"/>
  <c r="J463"/>
  <c r="J462" s="1"/>
  <c r="O462"/>
  <c r="N462"/>
  <c r="M462"/>
  <c r="U460"/>
  <c r="U459" s="1"/>
  <c r="U458" s="1"/>
  <c r="T460"/>
  <c r="T459" s="1"/>
  <c r="T458" s="1"/>
  <c r="S460"/>
  <c r="R460"/>
  <c r="R459" s="1"/>
  <c r="Q460"/>
  <c r="Q459" s="1"/>
  <c r="Q458" s="1"/>
  <c r="P460"/>
  <c r="P459" s="1"/>
  <c r="P458" s="1"/>
  <c r="O459"/>
  <c r="O458" s="1"/>
  <c r="N459"/>
  <c r="N458" s="1"/>
  <c r="M459"/>
  <c r="M458" s="1"/>
  <c r="L459"/>
  <c r="L458" s="1"/>
  <c r="K459"/>
  <c r="K458" s="1"/>
  <c r="J459"/>
  <c r="J458" s="1"/>
  <c r="U457"/>
  <c r="U456" s="1"/>
  <c r="T457"/>
  <c r="T456" s="1"/>
  <c r="S457"/>
  <c r="S456" s="1"/>
  <c r="R457"/>
  <c r="Q457"/>
  <c r="L457"/>
  <c r="L456" s="1"/>
  <c r="K457"/>
  <c r="K456" s="1"/>
  <c r="J457"/>
  <c r="O456"/>
  <c r="N456"/>
  <c r="M456"/>
  <c r="J456"/>
  <c r="U455"/>
  <c r="U454" s="1"/>
  <c r="T455"/>
  <c r="T454" s="1"/>
  <c r="S455"/>
  <c r="S454" s="1"/>
  <c r="L455"/>
  <c r="L454" s="1"/>
  <c r="K455"/>
  <c r="K454" s="1"/>
  <c r="J455"/>
  <c r="J454" s="1"/>
  <c r="O454"/>
  <c r="N454"/>
  <c r="M454"/>
  <c r="U453"/>
  <c r="U452" s="1"/>
  <c r="T453"/>
  <c r="T452" s="1"/>
  <c r="S453"/>
  <c r="S452" s="1"/>
  <c r="L453"/>
  <c r="L452" s="1"/>
  <c r="K453"/>
  <c r="K452" s="1"/>
  <c r="J453"/>
  <c r="J452" s="1"/>
  <c r="O452"/>
  <c r="N452"/>
  <c r="M452"/>
  <c r="U449"/>
  <c r="U448" s="1"/>
  <c r="U447" s="1"/>
  <c r="T449"/>
  <c r="T448" s="1"/>
  <c r="T447" s="1"/>
  <c r="T446" s="1"/>
  <c r="S449"/>
  <c r="S448" s="1"/>
  <c r="S447" s="1"/>
  <c r="S446" s="1"/>
  <c r="R449"/>
  <c r="Q449"/>
  <c r="P449"/>
  <c r="O448"/>
  <c r="O447" s="1"/>
  <c r="O446" s="1"/>
  <c r="N448"/>
  <c r="N447" s="1"/>
  <c r="N446" s="1"/>
  <c r="M448"/>
  <c r="M447" s="1"/>
  <c r="M446" s="1"/>
  <c r="L448"/>
  <c r="L447" s="1"/>
  <c r="L446" s="1"/>
  <c r="K448"/>
  <c r="K447" s="1"/>
  <c r="K446" s="1"/>
  <c r="J448"/>
  <c r="J447" s="1"/>
  <c r="J446" s="1"/>
  <c r="U443"/>
  <c r="U442" s="1"/>
  <c r="U441" s="1"/>
  <c r="U440" s="1"/>
  <c r="U439" s="1"/>
  <c r="O18" i="6" s="1"/>
  <c r="T443" i="5"/>
  <c r="T442" s="1"/>
  <c r="T441" s="1"/>
  <c r="T440" s="1"/>
  <c r="T439" s="1"/>
  <c r="N18" i="6" s="1"/>
  <c r="S443" i="5"/>
  <c r="S442" s="1"/>
  <c r="S441" s="1"/>
  <c r="S440" s="1"/>
  <c r="S439" s="1"/>
  <c r="M18" i="6" s="1"/>
  <c r="R443" i="5"/>
  <c r="Q443"/>
  <c r="P443"/>
  <c r="O442"/>
  <c r="O441" s="1"/>
  <c r="O440" s="1"/>
  <c r="O439" s="1"/>
  <c r="I18" i="6" s="1"/>
  <c r="N442" i="5"/>
  <c r="N441" s="1"/>
  <c r="N440" s="1"/>
  <c r="N439" s="1"/>
  <c r="H18" i="6" s="1"/>
  <c r="M442" i="5"/>
  <c r="M441" s="1"/>
  <c r="M440" s="1"/>
  <c r="M439" s="1"/>
  <c r="G18" i="6" s="1"/>
  <c r="L442" i="5"/>
  <c r="L441" s="1"/>
  <c r="L440" s="1"/>
  <c r="L439" s="1"/>
  <c r="F18" i="6" s="1"/>
  <c r="K442" i="5"/>
  <c r="K441" s="1"/>
  <c r="K440" s="1"/>
  <c r="K439" s="1"/>
  <c r="E18" i="6" s="1"/>
  <c r="J442" i="5"/>
  <c r="J441" s="1"/>
  <c r="J440" s="1"/>
  <c r="J439" s="1"/>
  <c r="D18" i="6" s="1"/>
  <c r="Q1274" i="5" l="1"/>
  <c r="P457"/>
  <c r="Q1286"/>
  <c r="Q1285" s="1"/>
  <c r="Q1284" s="1"/>
  <c r="Q1589"/>
  <c r="Q1588" s="1"/>
  <c r="Q1723"/>
  <c r="W1723" s="1"/>
  <c r="R1231"/>
  <c r="R1230" s="1"/>
  <c r="X1230" s="1"/>
  <c r="Q1410"/>
  <c r="Q1409" s="1"/>
  <c r="Q1408" s="1"/>
  <c r="P1460"/>
  <c r="V460"/>
  <c r="S927"/>
  <c r="X508"/>
  <c r="Q695"/>
  <c r="W695" s="1"/>
  <c r="W1448"/>
  <c r="Q455"/>
  <c r="N451"/>
  <c r="N471"/>
  <c r="O471"/>
  <c r="J489"/>
  <c r="J488" s="1"/>
  <c r="P500"/>
  <c r="P499" s="1"/>
  <c r="P498" s="1"/>
  <c r="P497" s="1"/>
  <c r="Q1155"/>
  <c r="W1330"/>
  <c r="W1337"/>
  <c r="W1339"/>
  <c r="R1500"/>
  <c r="R1499" s="1"/>
  <c r="R1510"/>
  <c r="P1628"/>
  <c r="O722"/>
  <c r="T927"/>
  <c r="Q1153"/>
  <c r="Q1152" s="1"/>
  <c r="P455"/>
  <c r="V455" s="1"/>
  <c r="R455"/>
  <c r="Q1601"/>
  <c r="Q1600" s="1"/>
  <c r="Q1599" s="1"/>
  <c r="R705"/>
  <c r="U927"/>
  <c r="X1683"/>
  <c r="V1689"/>
  <c r="X1046"/>
  <c r="W1338"/>
  <c r="Q1182"/>
  <c r="Q1181" s="1"/>
  <c r="R492"/>
  <c r="R491" s="1"/>
  <c r="R490" s="1"/>
  <c r="X490" s="1"/>
  <c r="V1482"/>
  <c r="U1324"/>
  <c r="U1319" s="1"/>
  <c r="U1313" s="1"/>
  <c r="Q1427"/>
  <c r="U952"/>
  <c r="U948" s="1"/>
  <c r="U947" s="1"/>
  <c r="R730"/>
  <c r="X731"/>
  <c r="J451"/>
  <c r="J450" s="1"/>
  <c r="J445" s="1"/>
  <c r="D20" i="6" s="1"/>
  <c r="O451" i="5"/>
  <c r="J461"/>
  <c r="M522"/>
  <c r="M521" s="1"/>
  <c r="M520" s="1"/>
  <c r="M519" s="1"/>
  <c r="M556"/>
  <c r="M555" s="1"/>
  <c r="M550" s="1"/>
  <c r="G34" i="6" s="1"/>
  <c r="M583" i="5"/>
  <c r="W667"/>
  <c r="V814"/>
  <c r="X1032"/>
  <c r="X1041"/>
  <c r="X1047"/>
  <c r="X1580"/>
  <c r="Q1655"/>
  <c r="Q1654" s="1"/>
  <c r="N556"/>
  <c r="N555" s="1"/>
  <c r="N550" s="1"/>
  <c r="H34" i="6" s="1"/>
  <c r="P730" i="5"/>
  <c r="P729" s="1"/>
  <c r="V731"/>
  <c r="M790"/>
  <c r="M789" s="1"/>
  <c r="Q517"/>
  <c r="W517" s="1"/>
  <c r="P524"/>
  <c r="V524" s="1"/>
  <c r="P726"/>
  <c r="P725" s="1"/>
  <c r="V725" s="1"/>
  <c r="R1568"/>
  <c r="P453"/>
  <c r="V453" s="1"/>
  <c r="O461"/>
  <c r="M466"/>
  <c r="J689"/>
  <c r="J669" s="1"/>
  <c r="D44" i="6" s="1"/>
  <c r="Q730" i="5"/>
  <c r="Q729" s="1"/>
  <c r="W731"/>
  <c r="J741"/>
  <c r="J740" s="1"/>
  <c r="J739" s="1"/>
  <c r="X1262"/>
  <c r="S1374"/>
  <c r="P1530"/>
  <c r="P1529" s="1"/>
  <c r="V1628"/>
  <c r="S1627"/>
  <c r="S1626" s="1"/>
  <c r="S1625" s="1"/>
  <c r="S1624" s="1"/>
  <c r="L797"/>
  <c r="R517"/>
  <c r="R516" s="1"/>
  <c r="R515" s="1"/>
  <c r="F28" i="6"/>
  <c r="N659" i="5"/>
  <c r="N650" s="1"/>
  <c r="N649" s="1"/>
  <c r="N648" s="1"/>
  <c r="Q1444"/>
  <c r="Q1443" s="1"/>
  <c r="Q1442" s="1"/>
  <c r="P536"/>
  <c r="L654"/>
  <c r="J670"/>
  <c r="W810"/>
  <c r="P813"/>
  <c r="P812" s="1"/>
  <c r="V1157"/>
  <c r="T1351"/>
  <c r="T1350" s="1"/>
  <c r="T1349" s="1"/>
  <c r="T1348" s="1"/>
  <c r="V1438"/>
  <c r="V1573"/>
  <c r="J466"/>
  <c r="J565"/>
  <c r="D37" i="6" s="1"/>
  <c r="K583" i="5"/>
  <c r="K579" s="1"/>
  <c r="K578" s="1"/>
  <c r="E38" i="6" s="1"/>
  <c r="V585" i="5"/>
  <c r="J583"/>
  <c r="P588"/>
  <c r="L659"/>
  <c r="M722"/>
  <c r="P848"/>
  <c r="V848" s="1"/>
  <c r="U900"/>
  <c r="W971"/>
  <c r="W995"/>
  <c r="S1015"/>
  <c r="S1084"/>
  <c r="S1083" s="1"/>
  <c r="S1079" s="1"/>
  <c r="S1078" s="1"/>
  <c r="S1077" s="1"/>
  <c r="S1076" s="1"/>
  <c r="R1393"/>
  <c r="X1393" s="1"/>
  <c r="W1401"/>
  <c r="P1424"/>
  <c r="P1423" s="1"/>
  <c r="R548"/>
  <c r="R1458"/>
  <c r="X1458" s="1"/>
  <c r="R1460"/>
  <c r="X1460" s="1"/>
  <c r="P1462"/>
  <c r="V1469"/>
  <c r="P1514"/>
  <c r="V1514" s="1"/>
  <c r="R1620"/>
  <c r="U1662"/>
  <c r="M451"/>
  <c r="N466"/>
  <c r="N450" s="1"/>
  <c r="N445" s="1"/>
  <c r="H20" i="6" s="1"/>
  <c r="V470" i="5"/>
  <c r="M471"/>
  <c r="W481"/>
  <c r="V492"/>
  <c r="V626"/>
  <c r="X658"/>
  <c r="S761"/>
  <c r="S760" s="1"/>
  <c r="S759" s="1"/>
  <c r="K778"/>
  <c r="K777" s="1"/>
  <c r="K776" s="1"/>
  <c r="E67" i="6" s="1"/>
  <c r="P1009" i="5"/>
  <c r="T1009"/>
  <c r="Q1265"/>
  <c r="Q1264" s="1"/>
  <c r="U1720"/>
  <c r="P1723"/>
  <c r="D28" i="6"/>
  <c r="D50"/>
  <c r="E28"/>
  <c r="H28"/>
  <c r="J822" i="5"/>
  <c r="D81" i="6"/>
  <c r="X1256" i="5"/>
  <c r="T1608"/>
  <c r="T1603" s="1"/>
  <c r="T1597" s="1"/>
  <c r="U1619"/>
  <c r="U1618" s="1"/>
  <c r="U1617" s="1"/>
  <c r="U1616" s="1"/>
  <c r="W1681"/>
  <c r="W1706"/>
  <c r="V1708"/>
  <c r="X1721"/>
  <c r="X470"/>
  <c r="K822"/>
  <c r="E81" i="6"/>
  <c r="S822" i="5"/>
  <c r="M81" i="6"/>
  <c r="R1040" i="5"/>
  <c r="X1040" s="1"/>
  <c r="W469"/>
  <c r="Q666"/>
  <c r="Q665" s="1"/>
  <c r="Q664" s="1"/>
  <c r="W664" s="1"/>
  <c r="L822"/>
  <c r="F81" i="6"/>
  <c r="T822" i="5"/>
  <c r="N81" i="6"/>
  <c r="U1335" i="5"/>
  <c r="U1334" s="1"/>
  <c r="U1333" s="1"/>
  <c r="V1354"/>
  <c r="U1399"/>
  <c r="U1398" s="1"/>
  <c r="U1397" s="1"/>
  <c r="U1396" s="1"/>
  <c r="R1427"/>
  <c r="R1426" s="1"/>
  <c r="V1427"/>
  <c r="X1428"/>
  <c r="P1467"/>
  <c r="P1466" s="1"/>
  <c r="P1465" s="1"/>
  <c r="T1467"/>
  <c r="T1466" s="1"/>
  <c r="T1465" s="1"/>
  <c r="T1464" s="1"/>
  <c r="U1627"/>
  <c r="U1626" s="1"/>
  <c r="U1625" s="1"/>
  <c r="U1624" s="1"/>
  <c r="Q1163"/>
  <c r="Q1162" s="1"/>
  <c r="Q1161" s="1"/>
  <c r="Q1160" s="1"/>
  <c r="Q1377"/>
  <c r="Q1376" s="1"/>
  <c r="Q1375" s="1"/>
  <c r="W470"/>
  <c r="N822"/>
  <c r="O822"/>
  <c r="I81" i="6"/>
  <c r="X1068" i="5"/>
  <c r="X1171"/>
  <c r="W465"/>
  <c r="U466"/>
  <c r="M822"/>
  <c r="G81" i="6"/>
  <c r="U822" i="5"/>
  <c r="O81" i="6"/>
  <c r="X840" i="5"/>
  <c r="R500"/>
  <c r="R499" s="1"/>
  <c r="X499" s="1"/>
  <c r="T926"/>
  <c r="X1103"/>
  <c r="Q495"/>
  <c r="W495" s="1"/>
  <c r="U1509"/>
  <c r="U1508" s="1"/>
  <c r="U1507" s="1"/>
  <c r="V1695"/>
  <c r="M670"/>
  <c r="O689"/>
  <c r="K556"/>
  <c r="K555" s="1"/>
  <c r="K550" s="1"/>
  <c r="E34" i="6" s="1"/>
  <c r="O556" i="5"/>
  <c r="O555" s="1"/>
  <c r="O550" s="1"/>
  <c r="I34" i="6" s="1"/>
  <c r="S566" i="5"/>
  <c r="S565" s="1"/>
  <c r="M37" i="6" s="1"/>
  <c r="N602" i="5"/>
  <c r="K501"/>
  <c r="O501"/>
  <c r="T489"/>
  <c r="T488" s="1"/>
  <c r="Q566"/>
  <c r="O565"/>
  <c r="I37" i="6" s="1"/>
  <c r="U566" i="5"/>
  <c r="U565" s="1"/>
  <c r="O37" i="6" s="1"/>
  <c r="V547" i="5"/>
  <c r="J556"/>
  <c r="J555" s="1"/>
  <c r="J550" s="1"/>
  <c r="D34" i="6" s="1"/>
  <c r="M632" i="5"/>
  <c r="M631" s="1"/>
  <c r="M489"/>
  <c r="M488" s="1"/>
  <c r="N670"/>
  <c r="L702"/>
  <c r="M764"/>
  <c r="K530"/>
  <c r="K529" s="1"/>
  <c r="E33" i="6" s="1"/>
  <c r="R448" i="5"/>
  <c r="R447" s="1"/>
  <c r="R446" s="1"/>
  <c r="N489"/>
  <c r="N488" s="1"/>
  <c r="L741"/>
  <c r="L740" s="1"/>
  <c r="N797"/>
  <c r="N689"/>
  <c r="M715"/>
  <c r="K764"/>
  <c r="L790"/>
  <c r="L789" s="1"/>
  <c r="W1056"/>
  <c r="W1126"/>
  <c r="W1157"/>
  <c r="W1274"/>
  <c r="Q679"/>
  <c r="Q678" s="1"/>
  <c r="V1460"/>
  <c r="V1468"/>
  <c r="V1580"/>
  <c r="W1589"/>
  <c r="W1699"/>
  <c r="Q1251"/>
  <c r="Q1250" s="1"/>
  <c r="W1250" s="1"/>
  <c r="Q500"/>
  <c r="Q499" s="1"/>
  <c r="W499" s="1"/>
  <c r="V443"/>
  <c r="V955"/>
  <c r="W506"/>
  <c r="X561"/>
  <c r="X572"/>
  <c r="X737"/>
  <c r="V938"/>
  <c r="R952"/>
  <c r="X987"/>
  <c r="V988"/>
  <c r="S1004"/>
  <c r="S1087"/>
  <c r="S1086" s="1"/>
  <c r="Q1100"/>
  <c r="Q1099" s="1"/>
  <c r="U1100"/>
  <c r="U1099" s="1"/>
  <c r="U1098" s="1"/>
  <c r="W1103"/>
  <c r="T1152"/>
  <c r="T1151" s="1"/>
  <c r="T1150" s="1"/>
  <c r="T1149" s="1"/>
  <c r="S1220"/>
  <c r="S1219" s="1"/>
  <c r="S1218" s="1"/>
  <c r="T1220"/>
  <c r="T1219" s="1"/>
  <c r="T1218" s="1"/>
  <c r="T1278"/>
  <c r="S1291"/>
  <c r="S1290" s="1"/>
  <c r="S1289" s="1"/>
  <c r="S1288" s="1"/>
  <c r="W1328"/>
  <c r="R1366"/>
  <c r="X1366" s="1"/>
  <c r="Q596"/>
  <c r="Q595" s="1"/>
  <c r="Q594" s="1"/>
  <c r="X1378"/>
  <c r="V1426"/>
  <c r="V1620"/>
  <c r="V1639"/>
  <c r="Q548"/>
  <c r="Q547" s="1"/>
  <c r="R679"/>
  <c r="R678" s="1"/>
  <c r="R677" s="1"/>
  <c r="X800"/>
  <c r="W834"/>
  <c r="R839"/>
  <c r="R838" s="1"/>
  <c r="X838" s="1"/>
  <c r="X950"/>
  <c r="Q970"/>
  <c r="Q969" s="1"/>
  <c r="T466"/>
  <c r="P469"/>
  <c r="V469" s="1"/>
  <c r="V512"/>
  <c r="R522"/>
  <c r="V635"/>
  <c r="T654"/>
  <c r="S654"/>
  <c r="T670"/>
  <c r="S755"/>
  <c r="S754" s="1"/>
  <c r="S753" s="1"/>
  <c r="W773"/>
  <c r="P863"/>
  <c r="T863"/>
  <c r="V890"/>
  <c r="V940"/>
  <c r="W945"/>
  <c r="S952"/>
  <c r="S948" s="1"/>
  <c r="S947" s="1"/>
  <c r="V1002"/>
  <c r="S1577"/>
  <c r="S1576" s="1"/>
  <c r="S1575" s="1"/>
  <c r="S1574" s="1"/>
  <c r="S1634"/>
  <c r="S1633" s="1"/>
  <c r="S1632" s="1"/>
  <c r="T1694"/>
  <c r="T1693" s="1"/>
  <c r="T1692" s="1"/>
  <c r="V1699"/>
  <c r="Q893"/>
  <c r="W893" s="1"/>
  <c r="W894"/>
  <c r="Q898"/>
  <c r="Q897" s="1"/>
  <c r="U899"/>
  <c r="X899" s="1"/>
  <c r="X900"/>
  <c r="W915"/>
  <c r="Q994"/>
  <c r="X1555"/>
  <c r="R1554"/>
  <c r="X919"/>
  <c r="R918"/>
  <c r="V657"/>
  <c r="W809"/>
  <c r="Q808"/>
  <c r="W808" s="1"/>
  <c r="W449"/>
  <c r="V532"/>
  <c r="T555"/>
  <c r="T550" s="1"/>
  <c r="N34" i="6" s="1"/>
  <c r="W567" i="5"/>
  <c r="W617"/>
  <c r="P619"/>
  <c r="T619"/>
  <c r="W636"/>
  <c r="X651"/>
  <c r="X705"/>
  <c r="R736"/>
  <c r="R735" s="1"/>
  <c r="R734" s="1"/>
  <c r="W955"/>
  <c r="X1445"/>
  <c r="R701"/>
  <c r="R700" s="1"/>
  <c r="R699" s="1"/>
  <c r="X699" s="1"/>
  <c r="Q1447"/>
  <c r="W1447" s="1"/>
  <c r="W1367"/>
  <c r="Q1366"/>
  <c r="W1366" s="1"/>
  <c r="W560"/>
  <c r="W473"/>
  <c r="X473"/>
  <c r="W492"/>
  <c r="U524"/>
  <c r="U523" s="1"/>
  <c r="W569"/>
  <c r="X582"/>
  <c r="X634"/>
  <c r="W676"/>
  <c r="Q675"/>
  <c r="Q674" s="1"/>
  <c r="W674" s="1"/>
  <c r="X728"/>
  <c r="S764"/>
  <c r="U853"/>
  <c r="W864"/>
  <c r="Q863"/>
  <c r="V980"/>
  <c r="P979"/>
  <c r="V979" s="1"/>
  <c r="P1389"/>
  <c r="V1389" s="1"/>
  <c r="V1390"/>
  <c r="S1584"/>
  <c r="S1583" s="1"/>
  <c r="S1582" s="1"/>
  <c r="V1036"/>
  <c r="X1091"/>
  <c r="X1131"/>
  <c r="R1182"/>
  <c r="U1182"/>
  <c r="U1181" s="1"/>
  <c r="U1180" s="1"/>
  <c r="U1179" s="1"/>
  <c r="X1190"/>
  <c r="U1199"/>
  <c r="S1278"/>
  <c r="V1311"/>
  <c r="T1302"/>
  <c r="R1317"/>
  <c r="R1316" s="1"/>
  <c r="V1322"/>
  <c r="Q701"/>
  <c r="Q700" s="1"/>
  <c r="Q699" s="1"/>
  <c r="Q698" s="1"/>
  <c r="V1365"/>
  <c r="X1370"/>
  <c r="V1402"/>
  <c r="V1470"/>
  <c r="R1482"/>
  <c r="X1482" s="1"/>
  <c r="X1561"/>
  <c r="W1572"/>
  <c r="X1630"/>
  <c r="W1664"/>
  <c r="P1688"/>
  <c r="P1687" s="1"/>
  <c r="P1686" s="1"/>
  <c r="P1685" s="1"/>
  <c r="X1706"/>
  <c r="U722"/>
  <c r="U715" s="1"/>
  <c r="X803"/>
  <c r="V806"/>
  <c r="X820"/>
  <c r="V851"/>
  <c r="W866"/>
  <c r="X907"/>
  <c r="X916"/>
  <c r="W932"/>
  <c r="W977"/>
  <c r="W1005"/>
  <c r="W1024"/>
  <c r="X1025"/>
  <c r="U1362"/>
  <c r="T1678"/>
  <c r="T1677" s="1"/>
  <c r="T1671" s="1"/>
  <c r="T1670" s="1"/>
  <c r="W653"/>
  <c r="T659"/>
  <c r="W744"/>
  <c r="V809"/>
  <c r="S853"/>
  <c r="R858"/>
  <c r="T888"/>
  <c r="V930"/>
  <c r="Q976"/>
  <c r="W976" s="1"/>
  <c r="T983"/>
  <c r="T982" s="1"/>
  <c r="R1004"/>
  <c r="Q1004"/>
  <c r="W1012"/>
  <c r="R1067"/>
  <c r="X1067" s="1"/>
  <c r="R1111"/>
  <c r="X1113"/>
  <c r="X1115"/>
  <c r="U1128"/>
  <c r="X1157"/>
  <c r="W1171"/>
  <c r="W1183"/>
  <c r="T1271"/>
  <c r="T1270" s="1"/>
  <c r="T1269" s="1"/>
  <c r="X1300"/>
  <c r="V1346"/>
  <c r="W1352"/>
  <c r="V1366"/>
  <c r="X1402"/>
  <c r="X1416"/>
  <c r="Q1415"/>
  <c r="U1446"/>
  <c r="U1441" s="1"/>
  <c r="U1440" s="1"/>
  <c r="X1514"/>
  <c r="V1532"/>
  <c r="Q1627"/>
  <c r="Q1626" s="1"/>
  <c r="V1630"/>
  <c r="W1630"/>
  <c r="X1640"/>
  <c r="V1660"/>
  <c r="S1694"/>
  <c r="S1693" s="1"/>
  <c r="S1692" s="1"/>
  <c r="X1699"/>
  <c r="P1094"/>
  <c r="P1093" s="1"/>
  <c r="V1093" s="1"/>
  <c r="V1095"/>
  <c r="X1411"/>
  <c r="R495"/>
  <c r="R494" s="1"/>
  <c r="R493" s="1"/>
  <c r="X493" s="1"/>
  <c r="X463"/>
  <c r="R462"/>
  <c r="R461" s="1"/>
  <c r="Q1128"/>
  <c r="W1129"/>
  <c r="W460"/>
  <c r="Q604"/>
  <c r="W605"/>
  <c r="V507"/>
  <c r="W585"/>
  <c r="Q584"/>
  <c r="W584" s="1"/>
  <c r="P637"/>
  <c r="V637" s="1"/>
  <c r="V638"/>
  <c r="X724"/>
  <c r="R723"/>
  <c r="W625"/>
  <c r="Q624"/>
  <c r="W624" s="1"/>
  <c r="T633"/>
  <c r="W633" s="1"/>
  <c r="W634"/>
  <c r="X641"/>
  <c r="U640"/>
  <c r="U639" s="1"/>
  <c r="X639" s="1"/>
  <c r="V796"/>
  <c r="P795"/>
  <c r="P794" s="1"/>
  <c r="W938"/>
  <c r="Q937"/>
  <c r="W937" s="1"/>
  <c r="X449"/>
  <c r="X457"/>
  <c r="R456"/>
  <c r="X456" s="1"/>
  <c r="R624"/>
  <c r="X624" s="1"/>
  <c r="X625"/>
  <c r="W656"/>
  <c r="V782"/>
  <c r="P781"/>
  <c r="V781" s="1"/>
  <c r="W443"/>
  <c r="X455"/>
  <c r="R454"/>
  <c r="X454" s="1"/>
  <c r="U472"/>
  <c r="U471" s="1"/>
  <c r="T471"/>
  <c r="R471"/>
  <c r="Q480"/>
  <c r="Q479" s="1"/>
  <c r="W479" s="1"/>
  <c r="W568"/>
  <c r="W621"/>
  <c r="Q620"/>
  <c r="W620" s="1"/>
  <c r="U618"/>
  <c r="S898"/>
  <c r="S897" s="1"/>
  <c r="S896" s="1"/>
  <c r="S895" s="1"/>
  <c r="P960"/>
  <c r="V960" s="1"/>
  <c r="V961"/>
  <c r="V487"/>
  <c r="W531"/>
  <c r="W581"/>
  <c r="X585"/>
  <c r="W638"/>
  <c r="V662"/>
  <c r="P683"/>
  <c r="V683" s="1"/>
  <c r="V684"/>
  <c r="W1094"/>
  <c r="U1111"/>
  <c r="U1110" s="1"/>
  <c r="X1283"/>
  <c r="R1282"/>
  <c r="X1282" s="1"/>
  <c r="P1320"/>
  <c r="V1320" s="1"/>
  <c r="V1321"/>
  <c r="S1344"/>
  <c r="S1343" s="1"/>
  <c r="S1342" s="1"/>
  <c r="U1374"/>
  <c r="S1388"/>
  <c r="S1383" s="1"/>
  <c r="Q1553"/>
  <c r="W1553" s="1"/>
  <c r="W1554"/>
  <c r="U1657"/>
  <c r="V1704"/>
  <c r="P1703"/>
  <c r="P1702" s="1"/>
  <c r="X504"/>
  <c r="X538"/>
  <c r="S659"/>
  <c r="X721"/>
  <c r="R720"/>
  <c r="R719" s="1"/>
  <c r="X719" s="1"/>
  <c r="W871"/>
  <c r="V985"/>
  <c r="V1001"/>
  <c r="X1007"/>
  <c r="X1012"/>
  <c r="W487"/>
  <c r="R503"/>
  <c r="R502" s="1"/>
  <c r="W508"/>
  <c r="X515"/>
  <c r="W545"/>
  <c r="V562"/>
  <c r="V590"/>
  <c r="V645"/>
  <c r="W662"/>
  <c r="W673"/>
  <c r="W684"/>
  <c r="V695"/>
  <c r="P694"/>
  <c r="P693" s="1"/>
  <c r="X761"/>
  <c r="R760"/>
  <c r="X760" s="1"/>
  <c r="T790"/>
  <c r="T789" s="1"/>
  <c r="X812"/>
  <c r="P826"/>
  <c r="V826" s="1"/>
  <c r="V827"/>
  <c r="X835"/>
  <c r="R834"/>
  <c r="R833" s="1"/>
  <c r="R832" s="1"/>
  <c r="X832" s="1"/>
  <c r="X846"/>
  <c r="W848"/>
  <c r="V850"/>
  <c r="X854"/>
  <c r="R853"/>
  <c r="X861"/>
  <c r="Q870"/>
  <c r="Q869" s="1"/>
  <c r="X871"/>
  <c r="V918"/>
  <c r="X990"/>
  <c r="V995"/>
  <c r="X1024"/>
  <c r="V1044"/>
  <c r="P1043"/>
  <c r="V1043" s="1"/>
  <c r="X1169"/>
  <c r="R1168"/>
  <c r="R1167" s="1"/>
  <c r="R1166" s="1"/>
  <c r="W1661"/>
  <c r="Q1660"/>
  <c r="W623"/>
  <c r="W657"/>
  <c r="V660"/>
  <c r="R915"/>
  <c r="Q952"/>
  <c r="X962"/>
  <c r="R961"/>
  <c r="X961" s="1"/>
  <c r="W1041"/>
  <c r="X465"/>
  <c r="X505"/>
  <c r="X506"/>
  <c r="V533"/>
  <c r="V539"/>
  <c r="P561"/>
  <c r="P556" s="1"/>
  <c r="Q556"/>
  <c r="Q555" s="1"/>
  <c r="U555"/>
  <c r="W572"/>
  <c r="V576"/>
  <c r="U588"/>
  <c r="U583" s="1"/>
  <c r="R596"/>
  <c r="V609"/>
  <c r="W612"/>
  <c r="Q622"/>
  <c r="W622" s="1"/>
  <c r="X652"/>
  <c r="X663"/>
  <c r="V663"/>
  <c r="Q683"/>
  <c r="Q682" s="1"/>
  <c r="Q681" s="1"/>
  <c r="Q680" s="1"/>
  <c r="U689"/>
  <c r="X748"/>
  <c r="V913"/>
  <c r="P912"/>
  <c r="V912" s="1"/>
  <c r="T972"/>
  <c r="P984"/>
  <c r="V984" s="1"/>
  <c r="W1101"/>
  <c r="V692"/>
  <c r="T722"/>
  <c r="X744"/>
  <c r="X747"/>
  <c r="W780"/>
  <c r="X794"/>
  <c r="U797"/>
  <c r="S843"/>
  <c r="X856"/>
  <c r="V866"/>
  <c r="W919"/>
  <c r="X918"/>
  <c r="X955"/>
  <c r="X974"/>
  <c r="X1017"/>
  <c r="W1033"/>
  <c r="U1031"/>
  <c r="W1040"/>
  <c r="W1050"/>
  <c r="X1054"/>
  <c r="S1052"/>
  <c r="V1101"/>
  <c r="W1113"/>
  <c r="P1128"/>
  <c r="T1168"/>
  <c r="T1167" s="1"/>
  <c r="T1166" s="1"/>
  <c r="T1165" s="1"/>
  <c r="W1214"/>
  <c r="Q1213"/>
  <c r="W1213" s="1"/>
  <c r="Q1523"/>
  <c r="W1524"/>
  <c r="T1529"/>
  <c r="T1528" s="1"/>
  <c r="T1527" s="1"/>
  <c r="T1526" s="1"/>
  <c r="W1530"/>
  <c r="W1548"/>
  <c r="T1547"/>
  <c r="T1546" s="1"/>
  <c r="V1595"/>
  <c r="P1594"/>
  <c r="P1593" s="1"/>
  <c r="V1593" s="1"/>
  <c r="U790"/>
  <c r="U789" s="1"/>
  <c r="X793"/>
  <c r="V844"/>
  <c r="W846"/>
  <c r="Q858"/>
  <c r="U858"/>
  <c r="W861"/>
  <c r="U863"/>
  <c r="X909"/>
  <c r="W918"/>
  <c r="U926"/>
  <c r="U921" s="1"/>
  <c r="P927"/>
  <c r="P926" s="1"/>
  <c r="U983"/>
  <c r="U982" s="1"/>
  <c r="U1004"/>
  <c r="U1009"/>
  <c r="X1016"/>
  <c r="X1033"/>
  <c r="V1084"/>
  <c r="X1133"/>
  <c r="Q1168"/>
  <c r="Q1167" s="1"/>
  <c r="U1168"/>
  <c r="U1167" s="1"/>
  <c r="U1166" s="1"/>
  <c r="U1165" s="1"/>
  <c r="P1199"/>
  <c r="R1306"/>
  <c r="X1307"/>
  <c r="R1386"/>
  <c r="R1385" s="1"/>
  <c r="X1387"/>
  <c r="Q1502"/>
  <c r="W1503"/>
  <c r="X1638"/>
  <c r="W1185"/>
  <c r="X1208"/>
  <c r="S1206"/>
  <c r="S1236"/>
  <c r="S1235" s="1"/>
  <c r="S1234" s="1"/>
  <c r="S1233" s="1"/>
  <c r="R1236"/>
  <c r="R1235" s="1"/>
  <c r="X1292"/>
  <c r="W1294"/>
  <c r="X1294"/>
  <c r="Q1335"/>
  <c r="V1340"/>
  <c r="P1345"/>
  <c r="P1344" s="1"/>
  <c r="X1352"/>
  <c r="X1381"/>
  <c r="T1388"/>
  <c r="T1383" s="1"/>
  <c r="S1422"/>
  <c r="S1421" s="1"/>
  <c r="S1420" s="1"/>
  <c r="X1434"/>
  <c r="X1462"/>
  <c r="S1467"/>
  <c r="S1466" s="1"/>
  <c r="S1465" s="1"/>
  <c r="S1464" s="1"/>
  <c r="V1476"/>
  <c r="S1478"/>
  <c r="V1520"/>
  <c r="X1538"/>
  <c r="W1555"/>
  <c r="S1556"/>
  <c r="S1551" s="1"/>
  <c r="S1550" s="1"/>
  <c r="P1577"/>
  <c r="P1576" s="1"/>
  <c r="P1575" s="1"/>
  <c r="W1600"/>
  <c r="V1645"/>
  <c r="Q1663"/>
  <c r="W1663" s="1"/>
  <c r="T1662"/>
  <c r="V1681"/>
  <c r="V1683"/>
  <c r="U1703"/>
  <c r="U1702" s="1"/>
  <c r="X1708"/>
  <c r="X1725"/>
  <c r="T1362"/>
  <c r="V1386"/>
  <c r="W1410"/>
  <c r="V1444"/>
  <c r="V1496"/>
  <c r="U1567"/>
  <c r="U1566" s="1"/>
  <c r="U1565" s="1"/>
  <c r="U1564" s="1"/>
  <c r="S1182"/>
  <c r="S1181" s="1"/>
  <c r="S1180" s="1"/>
  <c r="S1179" s="1"/>
  <c r="X1185"/>
  <c r="V1239"/>
  <c r="T1247"/>
  <c r="S1302"/>
  <c r="P1364"/>
  <c r="P1363" s="1"/>
  <c r="V1363" s="1"/>
  <c r="U1388"/>
  <c r="U1383" s="1"/>
  <c r="R1415"/>
  <c r="R1414" s="1"/>
  <c r="W1424"/>
  <c r="S1429"/>
  <c r="W1468"/>
  <c r="X1470"/>
  <c r="P1475"/>
  <c r="P1474" s="1"/>
  <c r="P1473" s="1"/>
  <c r="P1472" s="1"/>
  <c r="T1516"/>
  <c r="R1560"/>
  <c r="R1556" s="1"/>
  <c r="X1568"/>
  <c r="R1589"/>
  <c r="S1619"/>
  <c r="S1618" s="1"/>
  <c r="S1617" s="1"/>
  <c r="S1616" s="1"/>
  <c r="R1634"/>
  <c r="R1633" s="1"/>
  <c r="U1648"/>
  <c r="U902" s="1"/>
  <c r="U901" s="1"/>
  <c r="W1683"/>
  <c r="T1703"/>
  <c r="T1702" s="1"/>
  <c r="T1701" s="1"/>
  <c r="T1691" s="1"/>
  <c r="U446"/>
  <c r="X459"/>
  <c r="R458"/>
  <c r="X458" s="1"/>
  <c r="X517"/>
  <c r="S530"/>
  <c r="S529" s="1"/>
  <c r="M33" i="6" s="1"/>
  <c r="X560" i="5"/>
  <c r="R559"/>
  <c r="T588"/>
  <c r="T583" s="1"/>
  <c r="W589"/>
  <c r="W609"/>
  <c r="Q608"/>
  <c r="W608" s="1"/>
  <c r="T702"/>
  <c r="R1365"/>
  <c r="R1364" s="1"/>
  <c r="V1544"/>
  <c r="P1543"/>
  <c r="P1542" s="1"/>
  <c r="X1614"/>
  <c r="R1613"/>
  <c r="R1612" s="1"/>
  <c r="X1612" s="1"/>
  <c r="V457"/>
  <c r="O466"/>
  <c r="P486"/>
  <c r="K489"/>
  <c r="K488" s="1"/>
  <c r="X511"/>
  <c r="X516"/>
  <c r="W536"/>
  <c r="W537"/>
  <c r="N530"/>
  <c r="N529" s="1"/>
  <c r="H33" i="6" s="1"/>
  <c r="S559" i="5"/>
  <c r="V560"/>
  <c r="W587"/>
  <c r="K670"/>
  <c r="S686"/>
  <c r="V687"/>
  <c r="W692"/>
  <c r="T691"/>
  <c r="T690" s="1"/>
  <c r="T689" s="1"/>
  <c r="X713"/>
  <c r="R712"/>
  <c r="X712" s="1"/>
  <c r="V780"/>
  <c r="S779"/>
  <c r="S778" s="1"/>
  <c r="S777" s="1"/>
  <c r="S776" s="1"/>
  <c r="M67" i="6" s="1"/>
  <c r="R1181" i="5"/>
  <c r="R1180" s="1"/>
  <c r="R1179" s="1"/>
  <c r="X1179" s="1"/>
  <c r="X1183"/>
  <c r="V536"/>
  <c r="P535"/>
  <c r="X612"/>
  <c r="U611"/>
  <c r="U610" s="1"/>
  <c r="X610" s="1"/>
  <c r="V643"/>
  <c r="P642"/>
  <c r="V642" s="1"/>
  <c r="Q757"/>
  <c r="W758"/>
  <c r="V1361"/>
  <c r="P1360"/>
  <c r="X474"/>
  <c r="W490"/>
  <c r="W504"/>
  <c r="V514"/>
  <c r="S522"/>
  <c r="S521" s="1"/>
  <c r="S520" s="1"/>
  <c r="W629"/>
  <c r="T628"/>
  <c r="T627" s="1"/>
  <c r="O670"/>
  <c r="U678"/>
  <c r="U677" s="1"/>
  <c r="X714"/>
  <c r="V750"/>
  <c r="P749"/>
  <c r="P748" s="1"/>
  <c r="T451"/>
  <c r="K466"/>
  <c r="W468"/>
  <c r="R469"/>
  <c r="K471"/>
  <c r="Q472"/>
  <c r="Q471" s="1"/>
  <c r="W471" s="1"/>
  <c r="V474"/>
  <c r="V481"/>
  <c r="Q486"/>
  <c r="X487"/>
  <c r="L489"/>
  <c r="L488" s="1"/>
  <c r="V495"/>
  <c r="M502"/>
  <c r="M501" s="1"/>
  <c r="M483" s="1"/>
  <c r="U507"/>
  <c r="U502" s="1"/>
  <c r="U501" s="1"/>
  <c r="V517"/>
  <c r="P523"/>
  <c r="V523" s="1"/>
  <c r="V526"/>
  <c r="X532"/>
  <c r="R537"/>
  <c r="X537" s="1"/>
  <c r="P538"/>
  <c r="P537" s="1"/>
  <c r="V537" s="1"/>
  <c r="V542"/>
  <c r="W542"/>
  <c r="T541"/>
  <c r="T540" s="1"/>
  <c r="W540" s="1"/>
  <c r="N583"/>
  <c r="W593"/>
  <c r="T592"/>
  <c r="T591" s="1"/>
  <c r="W591" s="1"/>
  <c r="U603"/>
  <c r="V605"/>
  <c r="S604"/>
  <c r="S603" s="1"/>
  <c r="S602" s="1"/>
  <c r="W607"/>
  <c r="T606"/>
  <c r="W606" s="1"/>
  <c r="J619"/>
  <c r="J618" s="1"/>
  <c r="J601" s="1"/>
  <c r="D39" i="6" s="1"/>
  <c r="N619" i="5"/>
  <c r="N618" s="1"/>
  <c r="K650"/>
  <c r="K649" s="1"/>
  <c r="O650"/>
  <c r="O649" s="1"/>
  <c r="O648" s="1"/>
  <c r="R655"/>
  <c r="R654" s="1"/>
  <c r="X656"/>
  <c r="W671"/>
  <c r="X672"/>
  <c r="R671"/>
  <c r="X671" s="1"/>
  <c r="P675"/>
  <c r="V675" s="1"/>
  <c r="V676"/>
  <c r="P691"/>
  <c r="P690" s="1"/>
  <c r="W718"/>
  <c r="T717"/>
  <c r="W717" s="1"/>
  <c r="Q726"/>
  <c r="Q725" s="1"/>
  <c r="W725" s="1"/>
  <c r="V788"/>
  <c r="P787"/>
  <c r="P786" s="1"/>
  <c r="P785" s="1"/>
  <c r="O489"/>
  <c r="O488" s="1"/>
  <c r="M530"/>
  <c r="M529" s="1"/>
  <c r="G33" i="6" s="1"/>
  <c r="V587" i="5"/>
  <c r="P586"/>
  <c r="P583" s="1"/>
  <c r="X708"/>
  <c r="R707"/>
  <c r="V932"/>
  <c r="S926"/>
  <c r="S921" s="1"/>
  <c r="X443"/>
  <c r="W455"/>
  <c r="W463"/>
  <c r="W559"/>
  <c r="V569"/>
  <c r="W586"/>
  <c r="Q611"/>
  <c r="Q610" s="1"/>
  <c r="W610" s="1"/>
  <c r="V620"/>
  <c r="P628"/>
  <c r="V629"/>
  <c r="Q448"/>
  <c r="W448" s="1"/>
  <c r="K451"/>
  <c r="L451"/>
  <c r="S451"/>
  <c r="W458"/>
  <c r="S459"/>
  <c r="S458" s="1"/>
  <c r="V458" s="1"/>
  <c r="W459"/>
  <c r="L461"/>
  <c r="S461"/>
  <c r="T464"/>
  <c r="T461" s="1"/>
  <c r="L466"/>
  <c r="V468"/>
  <c r="S471"/>
  <c r="W474"/>
  <c r="X475"/>
  <c r="U489"/>
  <c r="U488" s="1"/>
  <c r="W491"/>
  <c r="V500"/>
  <c r="J502"/>
  <c r="J501" s="1"/>
  <c r="N502"/>
  <c r="N501" s="1"/>
  <c r="S502"/>
  <c r="S501" s="1"/>
  <c r="T505"/>
  <c r="T502" s="1"/>
  <c r="T501" s="1"/>
  <c r="L502"/>
  <c r="L501" s="1"/>
  <c r="V509"/>
  <c r="Q522"/>
  <c r="Q521" s="1"/>
  <c r="Q520" s="1"/>
  <c r="K28" i="6" s="1"/>
  <c r="X523" i="5"/>
  <c r="X531"/>
  <c r="W533"/>
  <c r="X540"/>
  <c r="X543"/>
  <c r="X545"/>
  <c r="K603"/>
  <c r="V617"/>
  <c r="S616"/>
  <c r="S615" s="1"/>
  <c r="S614" s="1"/>
  <c r="S613" s="1"/>
  <c r="V623"/>
  <c r="S622"/>
  <c r="V622" s="1"/>
  <c r="K632"/>
  <c r="K631" s="1"/>
  <c r="O632"/>
  <c r="O631" s="1"/>
  <c r="W660"/>
  <c r="Q659"/>
  <c r="U659"/>
  <c r="T681"/>
  <c r="T680" s="1"/>
  <c r="W688"/>
  <c r="Q687"/>
  <c r="W687" s="1"/>
  <c r="V694"/>
  <c r="M741"/>
  <c r="M740" s="1"/>
  <c r="U755"/>
  <c r="U754" s="1"/>
  <c r="U753" s="1"/>
  <c r="O778"/>
  <c r="O777" s="1"/>
  <c r="O776" s="1"/>
  <c r="I67" i="6" s="1"/>
  <c r="R798" i="5"/>
  <c r="X798" s="1"/>
  <c r="X799"/>
  <c r="K797"/>
  <c r="V881"/>
  <c r="P880"/>
  <c r="P879" s="1"/>
  <c r="P878" s="1"/>
  <c r="X953"/>
  <c r="O522"/>
  <c r="O521" s="1"/>
  <c r="O520" s="1"/>
  <c r="X536"/>
  <c r="W538"/>
  <c r="X541"/>
  <c r="X542"/>
  <c r="O530"/>
  <c r="O529" s="1"/>
  <c r="I33" i="6" s="1"/>
  <c r="X548" i="5"/>
  <c r="W554"/>
  <c r="X554"/>
  <c r="L566"/>
  <c r="R566" s="1"/>
  <c r="V571"/>
  <c r="T566"/>
  <c r="T565" s="1"/>
  <c r="N37" i="6" s="1"/>
  <c r="M579" i="5"/>
  <c r="M578" s="1"/>
  <c r="G38" i="6" s="1"/>
  <c r="M603" i="5"/>
  <c r="M602" s="1"/>
  <c r="M601" s="1"/>
  <c r="G39" i="6" s="1"/>
  <c r="P608" i="5"/>
  <c r="P603" s="1"/>
  <c r="Q616"/>
  <c r="Q615" s="1"/>
  <c r="Q614" s="1"/>
  <c r="W614" s="1"/>
  <c r="L632"/>
  <c r="L631" s="1"/>
  <c r="V640"/>
  <c r="V641"/>
  <c r="P659"/>
  <c r="V667"/>
  <c r="V673"/>
  <c r="X688"/>
  <c r="V688"/>
  <c r="K689"/>
  <c r="R704"/>
  <c r="P707"/>
  <c r="P706" s="1"/>
  <c r="S722"/>
  <c r="W736"/>
  <c r="W737"/>
  <c r="N741"/>
  <c r="N740" s="1"/>
  <c r="W772"/>
  <c r="Q779"/>
  <c r="W793"/>
  <c r="M797"/>
  <c r="U843"/>
  <c r="X859"/>
  <c r="Q927"/>
  <c r="Q926" s="1"/>
  <c r="W930"/>
  <c r="T936"/>
  <c r="R943"/>
  <c r="X943" s="1"/>
  <c r="X944"/>
  <c r="X945"/>
  <c r="W974"/>
  <c r="V993"/>
  <c r="Q1019"/>
  <c r="W1019" s="1"/>
  <c r="W1020"/>
  <c r="P1336"/>
  <c r="V1336" s="1"/>
  <c r="V1337"/>
  <c r="V573"/>
  <c r="V574"/>
  <c r="X653"/>
  <c r="U702"/>
  <c r="M702"/>
  <c r="K722"/>
  <c r="R742"/>
  <c r="X742" s="1"/>
  <c r="X743"/>
  <c r="W770"/>
  <c r="V773"/>
  <c r="P772"/>
  <c r="V772" s="1"/>
  <c r="U778"/>
  <c r="U777" s="1"/>
  <c r="U776" s="1"/>
  <c r="O67" i="6" s="1"/>
  <c r="W782" i="5"/>
  <c r="Q781"/>
  <c r="W781" s="1"/>
  <c r="X788"/>
  <c r="R787"/>
  <c r="R786" s="1"/>
  <c r="X834"/>
  <c r="V864"/>
  <c r="S863"/>
  <c r="X910"/>
  <c r="P1053"/>
  <c r="V1053" s="1"/>
  <c r="V1054"/>
  <c r="V589"/>
  <c r="V593"/>
  <c r="O603"/>
  <c r="V607"/>
  <c r="L602"/>
  <c r="L601" s="1"/>
  <c r="F39" i="6" s="1"/>
  <c r="V611" i="5"/>
  <c r="V621"/>
  <c r="W626"/>
  <c r="J632"/>
  <c r="J631" s="1"/>
  <c r="N632"/>
  <c r="N631" s="1"/>
  <c r="X635"/>
  <c r="W635"/>
  <c r="J659"/>
  <c r="J650" s="1"/>
  <c r="J649" s="1"/>
  <c r="J648" s="1"/>
  <c r="X661"/>
  <c r="V661"/>
  <c r="W672"/>
  <c r="V678"/>
  <c r="V679"/>
  <c r="S689"/>
  <c r="V711"/>
  <c r="V718"/>
  <c r="S717"/>
  <c r="S716" s="1"/>
  <c r="W721"/>
  <c r="L722"/>
  <c r="L715" s="1"/>
  <c r="W724"/>
  <c r="T729"/>
  <c r="W747"/>
  <c r="U741"/>
  <c r="U740" s="1"/>
  <c r="V758"/>
  <c r="P757"/>
  <c r="W761"/>
  <c r="O764"/>
  <c r="J764"/>
  <c r="N764"/>
  <c r="T764"/>
  <c r="W771"/>
  <c r="X811"/>
  <c r="V828"/>
  <c r="X848"/>
  <c r="X869"/>
  <c r="X887"/>
  <c r="R886"/>
  <c r="X886" s="1"/>
  <c r="V893"/>
  <c r="V941"/>
  <c r="W957"/>
  <c r="X971"/>
  <c r="R970"/>
  <c r="P976"/>
  <c r="P972" s="1"/>
  <c r="V977"/>
  <c r="Q1009"/>
  <c r="W1009" s="1"/>
  <c r="W1010"/>
  <c r="X1023"/>
  <c r="R1022"/>
  <c r="X1022" s="1"/>
  <c r="V1028"/>
  <c r="S1027"/>
  <c r="V1027" s="1"/>
  <c r="P1035"/>
  <c r="V1035" s="1"/>
  <c r="Q1043"/>
  <c r="W1043" s="1"/>
  <c r="W1044"/>
  <c r="P1133"/>
  <c r="V1133" s="1"/>
  <c r="V1134"/>
  <c r="S805"/>
  <c r="S804" s="1"/>
  <c r="V804" s="1"/>
  <c r="X806"/>
  <c r="V856"/>
  <c r="V861"/>
  <c r="X866"/>
  <c r="X906"/>
  <c r="S905"/>
  <c r="S904" s="1"/>
  <c r="X949"/>
  <c r="W990"/>
  <c r="X1005"/>
  <c r="R1009"/>
  <c r="R1000" s="1"/>
  <c r="W1036"/>
  <c r="Q1035"/>
  <c r="W1035" s="1"/>
  <c r="V1049"/>
  <c r="X1056"/>
  <c r="X1057"/>
  <c r="T1128"/>
  <c r="W1131"/>
  <c r="V1154"/>
  <c r="P1153"/>
  <c r="V1153" s="1"/>
  <c r="V1226"/>
  <c r="P1225"/>
  <c r="V1225" s="1"/>
  <c r="W1283"/>
  <c r="Q1282"/>
  <c r="V1317"/>
  <c r="P1316"/>
  <c r="P1315" s="1"/>
  <c r="P1314" s="1"/>
  <c r="X1330"/>
  <c r="R1329"/>
  <c r="V1353"/>
  <c r="P1352"/>
  <c r="Q1351"/>
  <c r="W1354"/>
  <c r="W835"/>
  <c r="T843"/>
  <c r="S858"/>
  <c r="X881"/>
  <c r="U888"/>
  <c r="U873" s="1"/>
  <c r="W916"/>
  <c r="U936"/>
  <c r="U935" s="1"/>
  <c r="W958"/>
  <c r="X991"/>
  <c r="S1009"/>
  <c r="X1010"/>
  <c r="V1012"/>
  <c r="Q1023"/>
  <c r="Q1022" s="1"/>
  <c r="W1022" s="1"/>
  <c r="V1029"/>
  <c r="T1031"/>
  <c r="X1050"/>
  <c r="U1049"/>
  <c r="X1049" s="1"/>
  <c r="V1074"/>
  <c r="P1073"/>
  <c r="V1073" s="1"/>
  <c r="P1100"/>
  <c r="P1099" s="1"/>
  <c r="P1098" s="1"/>
  <c r="V1103"/>
  <c r="X1126"/>
  <c r="U1125"/>
  <c r="X1125" s="1"/>
  <c r="X1176"/>
  <c r="R1175"/>
  <c r="X1175" s="1"/>
  <c r="X1177"/>
  <c r="Q1203"/>
  <c r="W1203" s="1"/>
  <c r="W1204"/>
  <c r="U1271"/>
  <c r="U1270" s="1"/>
  <c r="U1269" s="1"/>
  <c r="P1274"/>
  <c r="V1274" s="1"/>
  <c r="V1275"/>
  <c r="W1311"/>
  <c r="Q1310"/>
  <c r="W1318"/>
  <c r="Q1317"/>
  <c r="S1324"/>
  <c r="S1319" s="1"/>
  <c r="S1313" s="1"/>
  <c r="V1325"/>
  <c r="J702"/>
  <c r="N702"/>
  <c r="X711"/>
  <c r="K741"/>
  <c r="K740" s="1"/>
  <c r="O741"/>
  <c r="O740" s="1"/>
  <c r="K790"/>
  <c r="K789" s="1"/>
  <c r="W811"/>
  <c r="V886"/>
  <c r="P892"/>
  <c r="V892" s="1"/>
  <c r="R893"/>
  <c r="R892" s="1"/>
  <c r="X892" s="1"/>
  <c r="R898"/>
  <c r="R897" s="1"/>
  <c r="R896" s="1"/>
  <c r="X932"/>
  <c r="T944"/>
  <c r="T943" s="1"/>
  <c r="W943" s="1"/>
  <c r="V958"/>
  <c r="Q961"/>
  <c r="Q960" s="1"/>
  <c r="S983"/>
  <c r="S982" s="1"/>
  <c r="W985"/>
  <c r="Q984"/>
  <c r="W984" s="1"/>
  <c r="V987"/>
  <c r="U1000"/>
  <c r="U999" s="1"/>
  <c r="U998" s="1"/>
  <c r="U1015"/>
  <c r="V1020"/>
  <c r="W1025"/>
  <c r="Q1070"/>
  <c r="Q1066" s="1"/>
  <c r="W1071"/>
  <c r="X1071"/>
  <c r="U1070"/>
  <c r="X1070" s="1"/>
  <c r="W1073"/>
  <c r="W1074"/>
  <c r="Q1080"/>
  <c r="W1081"/>
  <c r="X1081"/>
  <c r="U1080"/>
  <c r="U1079" s="1"/>
  <c r="U1078" s="1"/>
  <c r="U1077" s="1"/>
  <c r="U1076" s="1"/>
  <c r="Q1083"/>
  <c r="W1083" s="1"/>
  <c r="W1084"/>
  <c r="T1100"/>
  <c r="T1099" s="1"/>
  <c r="T1098" s="1"/>
  <c r="W1108"/>
  <c r="T1107"/>
  <c r="T1106" s="1"/>
  <c r="W1106" s="1"/>
  <c r="Q1125"/>
  <c r="W1125" s="1"/>
  <c r="V1129"/>
  <c r="T1138"/>
  <c r="T1137" s="1"/>
  <c r="T1136" s="1"/>
  <c r="W1139"/>
  <c r="X1214"/>
  <c r="U1213"/>
  <c r="X1213" s="1"/>
  <c r="W1232"/>
  <c r="Q1231"/>
  <c r="Q1230" s="1"/>
  <c r="S1247"/>
  <c r="W1307"/>
  <c r="Q1306"/>
  <c r="X1323"/>
  <c r="R1322"/>
  <c r="X1433"/>
  <c r="R1432"/>
  <c r="U1052"/>
  <c r="V1070"/>
  <c r="U1087"/>
  <c r="U1086" s="1"/>
  <c r="Q1093"/>
  <c r="W1095"/>
  <c r="X1116"/>
  <c r="X1120"/>
  <c r="V1120"/>
  <c r="V1145"/>
  <c r="S1152"/>
  <c r="S1151" s="1"/>
  <c r="S1150" s="1"/>
  <c r="S1149" s="1"/>
  <c r="V1163"/>
  <c r="V1171"/>
  <c r="W1191"/>
  <c r="V1200"/>
  <c r="V1201"/>
  <c r="X1245"/>
  <c r="R1251"/>
  <c r="R1250" s="1"/>
  <c r="R1249" s="1"/>
  <c r="R1248" s="1"/>
  <c r="R1261"/>
  <c r="X1261" s="1"/>
  <c r="W1262"/>
  <c r="P1265"/>
  <c r="Q1272"/>
  <c r="W1272" s="1"/>
  <c r="X1276"/>
  <c r="R1286"/>
  <c r="P1310"/>
  <c r="V1310" s="1"/>
  <c r="W1340"/>
  <c r="R1346"/>
  <c r="W1360"/>
  <c r="T1359"/>
  <c r="T1358" s="1"/>
  <c r="T1357" s="1"/>
  <c r="T1356" s="1"/>
  <c r="R1369"/>
  <c r="R1368" s="1"/>
  <c r="X1368" s="1"/>
  <c r="X1377"/>
  <c r="S1399"/>
  <c r="S1398" s="1"/>
  <c r="S1397" s="1"/>
  <c r="U1415"/>
  <c r="U1414" s="1"/>
  <c r="U1413" s="1"/>
  <c r="U1412" s="1"/>
  <c r="S1502"/>
  <c r="V1502" s="1"/>
  <c r="V1503"/>
  <c r="Q1703"/>
  <c r="W1704"/>
  <c r="T1052"/>
  <c r="T1087"/>
  <c r="T1086" s="1"/>
  <c r="S1168"/>
  <c r="S1167" s="1"/>
  <c r="S1166" s="1"/>
  <c r="S1165" s="1"/>
  <c r="X1255"/>
  <c r="T1268"/>
  <c r="S1271"/>
  <c r="S1270" s="1"/>
  <c r="S1269" s="1"/>
  <c r="S1268" s="1"/>
  <c r="X1299"/>
  <c r="U1302"/>
  <c r="P1329"/>
  <c r="P1328" s="1"/>
  <c r="V1330"/>
  <c r="X1337"/>
  <c r="R1336"/>
  <c r="X1336" s="1"/>
  <c r="U1351"/>
  <c r="U1350" s="1"/>
  <c r="U1349" s="1"/>
  <c r="U1348" s="1"/>
  <c r="X1380"/>
  <c r="R1379"/>
  <c r="X1379" s="1"/>
  <c r="X1401"/>
  <c r="R1400"/>
  <c r="S1523"/>
  <c r="S1522" s="1"/>
  <c r="S1516" s="1"/>
  <c r="V1524"/>
  <c r="W1599"/>
  <c r="Q1598"/>
  <c r="W1598" s="1"/>
  <c r="W991"/>
  <c r="V1007"/>
  <c r="V1010"/>
  <c r="T1015"/>
  <c r="X1029"/>
  <c r="V1033"/>
  <c r="V1050"/>
  <c r="W1057"/>
  <c r="T1066"/>
  <c r="T1065" s="1"/>
  <c r="T1064" s="1"/>
  <c r="V1071"/>
  <c r="W1091"/>
  <c r="S1100"/>
  <c r="S1099" s="1"/>
  <c r="S1098" s="1"/>
  <c r="X1108"/>
  <c r="W1116"/>
  <c r="V1119"/>
  <c r="V1125"/>
  <c r="V1131"/>
  <c r="V1139"/>
  <c r="X1146"/>
  <c r="V1146"/>
  <c r="X1191"/>
  <c r="X1196"/>
  <c r="T1199"/>
  <c r="V1213"/>
  <c r="X1225"/>
  <c r="X1237"/>
  <c r="X1239"/>
  <c r="U1260"/>
  <c r="U1259" s="1"/>
  <c r="U1258" s="1"/>
  <c r="S1260"/>
  <c r="S1259" s="1"/>
  <c r="S1258" s="1"/>
  <c r="R1274"/>
  <c r="X1274" s="1"/>
  <c r="W1286"/>
  <c r="V1294"/>
  <c r="T1291"/>
  <c r="T1290" s="1"/>
  <c r="T1289" s="1"/>
  <c r="T1288" s="1"/>
  <c r="R1298"/>
  <c r="V1326"/>
  <c r="X1371"/>
  <c r="W1394"/>
  <c r="Q1393"/>
  <c r="V1410"/>
  <c r="S1409"/>
  <c r="S1408" s="1"/>
  <c r="S1407" s="1"/>
  <c r="S1406" s="1"/>
  <c r="X1418"/>
  <c r="X1424"/>
  <c r="U1423"/>
  <c r="X1423" s="1"/>
  <c r="X1547"/>
  <c r="U1546"/>
  <c r="U1541" s="1"/>
  <c r="U1540" s="1"/>
  <c r="Q1561"/>
  <c r="Q1560" s="1"/>
  <c r="W1562"/>
  <c r="P1568"/>
  <c r="V1568" s="1"/>
  <c r="V1569"/>
  <c r="W1623"/>
  <c r="Q1622"/>
  <c r="W1622" s="1"/>
  <c r="R1338"/>
  <c r="X1338" s="1"/>
  <c r="S1335"/>
  <c r="S1334" s="1"/>
  <c r="S1333" s="1"/>
  <c r="S1351"/>
  <c r="S1350" s="1"/>
  <c r="S1349" s="1"/>
  <c r="S1348" s="1"/>
  <c r="W1371"/>
  <c r="T1374"/>
  <c r="P1385"/>
  <c r="V1401"/>
  <c r="W1402"/>
  <c r="P1437"/>
  <c r="P1436" s="1"/>
  <c r="V1436" s="1"/>
  <c r="X1452"/>
  <c r="R1451"/>
  <c r="R1450" s="1"/>
  <c r="X1450" s="1"/>
  <c r="U1467"/>
  <c r="U1466" s="1"/>
  <c r="U1465" s="1"/>
  <c r="U1464" s="1"/>
  <c r="T1495"/>
  <c r="T1490" s="1"/>
  <c r="T1489" s="1"/>
  <c r="S1509"/>
  <c r="S1508" s="1"/>
  <c r="S1507" s="1"/>
  <c r="U1516"/>
  <c r="U1506" s="1"/>
  <c r="S1529"/>
  <c r="S1528" s="1"/>
  <c r="S1527" s="1"/>
  <c r="S1526" s="1"/>
  <c r="S1537"/>
  <c r="V1538"/>
  <c r="X1571"/>
  <c r="R1570"/>
  <c r="X1570" s="1"/>
  <c r="X1636"/>
  <c r="U1635"/>
  <c r="U1634" s="1"/>
  <c r="U1633" s="1"/>
  <c r="U1632" s="1"/>
  <c r="Q1639"/>
  <c r="W1640"/>
  <c r="V1644"/>
  <c r="T1648"/>
  <c r="T902" s="1"/>
  <c r="R1655"/>
  <c r="R1654" s="1"/>
  <c r="X1656"/>
  <c r="W1660"/>
  <c r="Q1659"/>
  <c r="Q1658" s="1"/>
  <c r="W1437"/>
  <c r="V1513"/>
  <c r="P1512"/>
  <c r="V1512" s="1"/>
  <c r="T1592"/>
  <c r="T1591" s="1"/>
  <c r="T900" s="1"/>
  <c r="W900" s="1"/>
  <c r="P1612"/>
  <c r="P1608" s="1"/>
  <c r="V1613"/>
  <c r="S1663"/>
  <c r="S1662" s="1"/>
  <c r="S1657" s="1"/>
  <c r="V1664"/>
  <c r="S1678"/>
  <c r="S1677" s="1"/>
  <c r="S1671" s="1"/>
  <c r="S1670" s="1"/>
  <c r="V1679"/>
  <c r="X1695"/>
  <c r="R1694"/>
  <c r="R1693" s="1"/>
  <c r="V1697"/>
  <c r="P1694"/>
  <c r="X1326"/>
  <c r="T1324"/>
  <c r="T1319" s="1"/>
  <c r="T1313" s="1"/>
  <c r="T1335"/>
  <c r="T1334" s="1"/>
  <c r="T1333" s="1"/>
  <c r="T1332" s="1"/>
  <c r="S1362"/>
  <c r="X1386"/>
  <c r="T1399"/>
  <c r="T1398" s="1"/>
  <c r="T1397" s="1"/>
  <c r="T1396" s="1"/>
  <c r="R1410"/>
  <c r="R1409" s="1"/>
  <c r="R1408" s="1"/>
  <c r="X1408" s="1"/>
  <c r="V1418"/>
  <c r="W1418"/>
  <c r="T1422"/>
  <c r="T1421" s="1"/>
  <c r="T1420" s="1"/>
  <c r="W1433"/>
  <c r="W1438"/>
  <c r="P1481"/>
  <c r="X1494"/>
  <c r="R1493"/>
  <c r="R1492" s="1"/>
  <c r="R1491" s="1"/>
  <c r="Q1520"/>
  <c r="W1521"/>
  <c r="W1558"/>
  <c r="T1557"/>
  <c r="T1556" s="1"/>
  <c r="T1551" s="1"/>
  <c r="T1550" s="1"/>
  <c r="U1584"/>
  <c r="U1583" s="1"/>
  <c r="U1582" s="1"/>
  <c r="V1588"/>
  <c r="Q1594"/>
  <c r="W1595"/>
  <c r="X1668"/>
  <c r="R1667"/>
  <c r="X1667" s="1"/>
  <c r="W1708"/>
  <c r="U1457"/>
  <c r="U1456" s="1"/>
  <c r="U1455" s="1"/>
  <c r="U1454" s="1"/>
  <c r="T1457"/>
  <c r="T1456" s="1"/>
  <c r="T1455" s="1"/>
  <c r="T1454" s="1"/>
  <c r="T1478"/>
  <c r="W1502"/>
  <c r="T1541"/>
  <c r="T1540" s="1"/>
  <c r="X1548"/>
  <c r="W1636"/>
  <c r="X1639"/>
  <c r="V1650"/>
  <c r="X1718"/>
  <c r="T1567"/>
  <c r="T1566" s="1"/>
  <c r="T1565" s="1"/>
  <c r="T1564" s="1"/>
  <c r="W1571"/>
  <c r="X1572"/>
  <c r="U1577"/>
  <c r="U1576" s="1"/>
  <c r="U1575" s="1"/>
  <c r="U1574" s="1"/>
  <c r="X1595"/>
  <c r="V1606"/>
  <c r="X1607"/>
  <c r="V1610"/>
  <c r="T1634"/>
  <c r="T1633" s="1"/>
  <c r="T1632" s="1"/>
  <c r="V1651"/>
  <c r="W1668"/>
  <c r="X1676"/>
  <c r="P1678"/>
  <c r="W1697"/>
  <c r="V1706"/>
  <c r="W1721"/>
  <c r="V1725"/>
  <c r="S1457"/>
  <c r="S1456" s="1"/>
  <c r="S1455" s="1"/>
  <c r="S1454" s="1"/>
  <c r="Q1493"/>
  <c r="P1500"/>
  <c r="U1529"/>
  <c r="U1528" s="1"/>
  <c r="U1527" s="1"/>
  <c r="U1526" s="1"/>
  <c r="V1562"/>
  <c r="V1578"/>
  <c r="T1577"/>
  <c r="T1576" s="1"/>
  <c r="T1575" s="1"/>
  <c r="T1574" s="1"/>
  <c r="S1608"/>
  <c r="S1603" s="1"/>
  <c r="S1597" s="1"/>
  <c r="T1619"/>
  <c r="T1618" s="1"/>
  <c r="T1617" s="1"/>
  <c r="T1616" s="1"/>
  <c r="P1627"/>
  <c r="T1627"/>
  <c r="T1626" s="1"/>
  <c r="T1625" s="1"/>
  <c r="T1624" s="1"/>
  <c r="X479"/>
  <c r="R478"/>
  <c r="U551"/>
  <c r="X552"/>
  <c r="S670"/>
  <c r="V671"/>
  <c r="X485"/>
  <c r="R484"/>
  <c r="V552"/>
  <c r="P551"/>
  <c r="V462"/>
  <c r="V480"/>
  <c r="P479"/>
  <c r="V494"/>
  <c r="P493"/>
  <c r="Q509"/>
  <c r="W509" s="1"/>
  <c r="W510"/>
  <c r="U530"/>
  <c r="U529" s="1"/>
  <c r="O33" i="6" s="1"/>
  <c r="V584" i="5"/>
  <c r="M689"/>
  <c r="R693"/>
  <c r="X693" s="1"/>
  <c r="X694"/>
  <c r="U451"/>
  <c r="U461"/>
  <c r="Q466"/>
  <c r="W467"/>
  <c r="J530"/>
  <c r="J529" s="1"/>
  <c r="D33" i="6" s="1"/>
  <c r="M565" i="5"/>
  <c r="G37" i="6" s="1"/>
  <c r="S491" i="5"/>
  <c r="S490" s="1"/>
  <c r="S499"/>
  <c r="S498" s="1"/>
  <c r="X544"/>
  <c r="R586"/>
  <c r="X586" s="1"/>
  <c r="X587"/>
  <c r="R608"/>
  <c r="X608" s="1"/>
  <c r="X609"/>
  <c r="S786"/>
  <c r="S812"/>
  <c r="W845"/>
  <c r="Q844"/>
  <c r="Q453"/>
  <c r="V889"/>
  <c r="S888"/>
  <c r="Q968"/>
  <c r="V970"/>
  <c r="P969"/>
  <c r="T969"/>
  <c r="T968" s="1"/>
  <c r="T967" s="1"/>
  <c r="U972"/>
  <c r="U966" s="1"/>
  <c r="X973"/>
  <c r="P1160"/>
  <c r="V1161"/>
  <c r="X1354"/>
  <c r="R1351"/>
  <c r="Q442"/>
  <c r="X464"/>
  <c r="S467"/>
  <c r="W475"/>
  <c r="V504"/>
  <c r="Q507"/>
  <c r="W507" s="1"/>
  <c r="V513"/>
  <c r="W532"/>
  <c r="V553"/>
  <c r="W561"/>
  <c r="N565"/>
  <c r="H37" i="6" s="1"/>
  <c r="P570" i="5"/>
  <c r="V570" s="1"/>
  <c r="X570"/>
  <c r="W571"/>
  <c r="Q570"/>
  <c r="W570" s="1"/>
  <c r="P581"/>
  <c r="V582"/>
  <c r="R633"/>
  <c r="S634"/>
  <c r="S633" s="1"/>
  <c r="P636"/>
  <c r="R637"/>
  <c r="X638"/>
  <c r="V653"/>
  <c r="P652"/>
  <c r="W655"/>
  <c r="Q654"/>
  <c r="U657"/>
  <c r="U654" s="1"/>
  <c r="V666"/>
  <c r="P665"/>
  <c r="R675"/>
  <c r="X676"/>
  <c r="R683"/>
  <c r="X684"/>
  <c r="X695"/>
  <c r="V714"/>
  <c r="P713"/>
  <c r="R729"/>
  <c r="X729" s="1"/>
  <c r="X730"/>
  <c r="P735"/>
  <c r="V736"/>
  <c r="V744"/>
  <c r="P743"/>
  <c r="R772"/>
  <c r="X773"/>
  <c r="S808"/>
  <c r="S807" s="1"/>
  <c r="X922"/>
  <c r="V937"/>
  <c r="P936"/>
  <c r="R937"/>
  <c r="X938"/>
  <c r="V953"/>
  <c r="P952"/>
  <c r="V952" s="1"/>
  <c r="W953"/>
  <c r="T952"/>
  <c r="T948" s="1"/>
  <c r="V1185"/>
  <c r="P1182"/>
  <c r="X467"/>
  <c r="L530"/>
  <c r="L529" s="1"/>
  <c r="F33" i="6" s="1"/>
  <c r="R568" i="5"/>
  <c r="X569"/>
  <c r="O602"/>
  <c r="R691"/>
  <c r="X692"/>
  <c r="V701"/>
  <c r="P700"/>
  <c r="W792"/>
  <c r="Q791"/>
  <c r="S794"/>
  <c r="V795"/>
  <c r="X874"/>
  <c r="Q912"/>
  <c r="W912" s="1"/>
  <c r="W913"/>
  <c r="W924"/>
  <c r="Q923"/>
  <c r="V973"/>
  <c r="X480"/>
  <c r="V545"/>
  <c r="P546"/>
  <c r="V546" s="1"/>
  <c r="Q553"/>
  <c r="Q575"/>
  <c r="W576"/>
  <c r="P610"/>
  <c r="V610" s="1"/>
  <c r="Q644"/>
  <c r="W645"/>
  <c r="W658"/>
  <c r="P682"/>
  <c r="Q749"/>
  <c r="W750"/>
  <c r="R757"/>
  <c r="X758"/>
  <c r="P768"/>
  <c r="V769"/>
  <c r="J797"/>
  <c r="X805"/>
  <c r="R804"/>
  <c r="X804" s="1"/>
  <c r="Q850"/>
  <c r="W850" s="1"/>
  <c r="W851"/>
  <c r="W859"/>
  <c r="T858"/>
  <c r="R868"/>
  <c r="X868" s="1"/>
  <c r="X876"/>
  <c r="S879"/>
  <c r="S878" s="1"/>
  <c r="X891"/>
  <c r="R890"/>
  <c r="V901"/>
  <c r="R442"/>
  <c r="V449"/>
  <c r="W457"/>
  <c r="V465"/>
  <c r="V473"/>
  <c r="X481"/>
  <c r="X486"/>
  <c r="X495"/>
  <c r="P503"/>
  <c r="V506"/>
  <c r="V510"/>
  <c r="V511"/>
  <c r="R514"/>
  <c r="P516"/>
  <c r="R521"/>
  <c r="P525"/>
  <c r="R535"/>
  <c r="V575"/>
  <c r="Q580"/>
  <c r="W637"/>
  <c r="V644"/>
  <c r="X645"/>
  <c r="T652"/>
  <c r="T651" s="1"/>
  <c r="M650"/>
  <c r="M649" s="1"/>
  <c r="M648" s="1"/>
  <c r="R660"/>
  <c r="R662"/>
  <c r="X662" s="1"/>
  <c r="L670"/>
  <c r="R687"/>
  <c r="K702"/>
  <c r="O702"/>
  <c r="R709"/>
  <c r="X709" s="1"/>
  <c r="X710"/>
  <c r="V730"/>
  <c r="S729"/>
  <c r="V729" s="1"/>
  <c r="T743"/>
  <c r="T742" s="1"/>
  <c r="T741" s="1"/>
  <c r="T740" s="1"/>
  <c r="W746"/>
  <c r="Q745"/>
  <c r="W745" s="1"/>
  <c r="S748"/>
  <c r="V749"/>
  <c r="W759"/>
  <c r="W769"/>
  <c r="Q768"/>
  <c r="X769"/>
  <c r="U768"/>
  <c r="U767" s="1"/>
  <c r="U766" s="1"/>
  <c r="U765" s="1"/>
  <c r="U764" s="1"/>
  <c r="O797"/>
  <c r="T807"/>
  <c r="W820"/>
  <c r="Q819"/>
  <c r="X828"/>
  <c r="R827"/>
  <c r="W840"/>
  <c r="Q839"/>
  <c r="R844"/>
  <c r="W854"/>
  <c r="Q853"/>
  <c r="R863"/>
  <c r="X863" s="1"/>
  <c r="X864"/>
  <c r="X870"/>
  <c r="P898"/>
  <c r="V899"/>
  <c r="V910"/>
  <c r="P909"/>
  <c r="V909" s="1"/>
  <c r="W910"/>
  <c r="T909"/>
  <c r="T905" s="1"/>
  <c r="T904" s="1"/>
  <c r="P1023"/>
  <c r="V1024"/>
  <c r="R1043"/>
  <c r="X1044"/>
  <c r="Q1180"/>
  <c r="W723"/>
  <c r="W876"/>
  <c r="Q875"/>
  <c r="R879"/>
  <c r="X880"/>
  <c r="W891"/>
  <c r="Q890"/>
  <c r="P906"/>
  <c r="V907"/>
  <c r="X1001"/>
  <c r="X1724"/>
  <c r="R1723"/>
  <c r="R726"/>
  <c r="V463"/>
  <c r="W511"/>
  <c r="Q514"/>
  <c r="Q535"/>
  <c r="X539"/>
  <c r="P541"/>
  <c r="X562"/>
  <c r="X571"/>
  <c r="R580"/>
  <c r="S588"/>
  <c r="V588" s="1"/>
  <c r="V596"/>
  <c r="T700"/>
  <c r="T699" s="1"/>
  <c r="T698" s="1"/>
  <c r="S706"/>
  <c r="Q827"/>
  <c r="W828"/>
  <c r="Q833"/>
  <c r="V859"/>
  <c r="P858"/>
  <c r="P869"/>
  <c r="V870"/>
  <c r="T873"/>
  <c r="X924"/>
  <c r="R453"/>
  <c r="P456"/>
  <c r="V456" s="1"/>
  <c r="W539"/>
  <c r="P544"/>
  <c r="V548"/>
  <c r="X553"/>
  <c r="W562"/>
  <c r="V572"/>
  <c r="X576"/>
  <c r="J579"/>
  <c r="J578" s="1"/>
  <c r="D38" i="6" s="1"/>
  <c r="N579" i="5"/>
  <c r="N578" s="1"/>
  <c r="H38" i="6" s="1"/>
  <c r="W582" i="5"/>
  <c r="R584"/>
  <c r="L583"/>
  <c r="L579" s="1"/>
  <c r="L578" s="1"/>
  <c r="F38" i="6" s="1"/>
  <c r="W590" i="5"/>
  <c r="Q588"/>
  <c r="V592"/>
  <c r="P591"/>
  <c r="V591" s="1"/>
  <c r="T595"/>
  <c r="T594" s="1"/>
  <c r="W604"/>
  <c r="R604"/>
  <c r="X605"/>
  <c r="V606"/>
  <c r="K602"/>
  <c r="V612"/>
  <c r="P615"/>
  <c r="Q619"/>
  <c r="X621"/>
  <c r="R620"/>
  <c r="S625"/>
  <c r="S624" s="1"/>
  <c r="P442"/>
  <c r="P448"/>
  <c r="Q454"/>
  <c r="W454" s="1"/>
  <c r="Q456"/>
  <c r="W456" s="1"/>
  <c r="X460"/>
  <c r="M461"/>
  <c r="M450" s="1"/>
  <c r="M445" s="1"/>
  <c r="G20" i="6" s="1"/>
  <c r="Q462" i="5"/>
  <c r="P464"/>
  <c r="V464" s="1"/>
  <c r="X468"/>
  <c r="P472"/>
  <c r="V475"/>
  <c r="P496"/>
  <c r="X500"/>
  <c r="Q503"/>
  <c r="P505"/>
  <c r="V505" s="1"/>
  <c r="V508"/>
  <c r="R510"/>
  <c r="X524"/>
  <c r="P531"/>
  <c r="X533"/>
  <c r="Q544"/>
  <c r="R547"/>
  <c r="V554"/>
  <c r="L556"/>
  <c r="L555" s="1"/>
  <c r="L550" s="1"/>
  <c r="F34" i="6" s="1"/>
  <c r="K565" i="5"/>
  <c r="E37" i="6" s="1"/>
  <c r="V568" i="5"/>
  <c r="P567"/>
  <c r="R575"/>
  <c r="U581"/>
  <c r="U580" s="1"/>
  <c r="U579" s="1"/>
  <c r="O583"/>
  <c r="O579" s="1"/>
  <c r="O578" s="1"/>
  <c r="I38" i="6" s="1"/>
  <c r="R588" i="5"/>
  <c r="X588" s="1"/>
  <c r="X589"/>
  <c r="X590"/>
  <c r="R592"/>
  <c r="X593"/>
  <c r="P595"/>
  <c r="R606"/>
  <c r="X606" s="1"/>
  <c r="X607"/>
  <c r="R616"/>
  <c r="X617"/>
  <c r="K619"/>
  <c r="K618" s="1"/>
  <c r="O619"/>
  <c r="O618" s="1"/>
  <c r="X623"/>
  <c r="R622"/>
  <c r="X622" s="1"/>
  <c r="R628"/>
  <c r="X629"/>
  <c r="P639"/>
  <c r="V639" s="1"/>
  <c r="W641"/>
  <c r="Q640"/>
  <c r="R644"/>
  <c r="R666"/>
  <c r="X667"/>
  <c r="P677"/>
  <c r="V677" s="1"/>
  <c r="V710"/>
  <c r="S709"/>
  <c r="V709" s="1"/>
  <c r="P716"/>
  <c r="V721"/>
  <c r="P720"/>
  <c r="K715"/>
  <c r="O715"/>
  <c r="W728"/>
  <c r="Q727"/>
  <c r="W727" s="1"/>
  <c r="Q735"/>
  <c r="V761"/>
  <c r="P760"/>
  <c r="R767"/>
  <c r="R779"/>
  <c r="X780"/>
  <c r="R781"/>
  <c r="X781" s="1"/>
  <c r="X782"/>
  <c r="O790"/>
  <c r="O789" s="1"/>
  <c r="Q795"/>
  <c r="W796"/>
  <c r="Q798"/>
  <c r="V800"/>
  <c r="P799"/>
  <c r="W800"/>
  <c r="T799"/>
  <c r="T798" s="1"/>
  <c r="W803"/>
  <c r="Q802"/>
  <c r="Q813"/>
  <c r="W814"/>
  <c r="P833"/>
  <c r="V834"/>
  <c r="V846"/>
  <c r="V885"/>
  <c r="P884"/>
  <c r="X893"/>
  <c r="X902"/>
  <c r="W906"/>
  <c r="V945"/>
  <c r="P944"/>
  <c r="W1155"/>
  <c r="Q1229"/>
  <c r="T1264"/>
  <c r="T1260" s="1"/>
  <c r="T1259" s="1"/>
  <c r="T1258" s="1"/>
  <c r="L650"/>
  <c r="L649" s="1"/>
  <c r="V656"/>
  <c r="V672"/>
  <c r="V705"/>
  <c r="P704"/>
  <c r="W708"/>
  <c r="Q707"/>
  <c r="Q710"/>
  <c r="W711"/>
  <c r="W714"/>
  <c r="Q713"/>
  <c r="R717"/>
  <c r="X718"/>
  <c r="X723"/>
  <c r="P723"/>
  <c r="V724"/>
  <c r="V737"/>
  <c r="X746"/>
  <c r="R745"/>
  <c r="X745" s="1"/>
  <c r="P746"/>
  <c r="V747"/>
  <c r="X750"/>
  <c r="T755"/>
  <c r="T754" s="1"/>
  <c r="T753" s="1"/>
  <c r="T778"/>
  <c r="Q787"/>
  <c r="W788"/>
  <c r="X792"/>
  <c r="R791"/>
  <c r="P792"/>
  <c r="V793"/>
  <c r="X796"/>
  <c r="Q805"/>
  <c r="W806"/>
  <c r="X810"/>
  <c r="P810"/>
  <c r="V810" s="1"/>
  <c r="V811"/>
  <c r="X814"/>
  <c r="V835"/>
  <c r="X851"/>
  <c r="W856"/>
  <c r="V871"/>
  <c r="Q880"/>
  <c r="W881"/>
  <c r="W887"/>
  <c r="Q886"/>
  <c r="W907"/>
  <c r="X913"/>
  <c r="R912"/>
  <c r="X912" s="1"/>
  <c r="W949"/>
  <c r="R957"/>
  <c r="X958"/>
  <c r="X979"/>
  <c r="W1067"/>
  <c r="P1067"/>
  <c r="V1068"/>
  <c r="P1079"/>
  <c r="V1080"/>
  <c r="R1088"/>
  <c r="X1089"/>
  <c r="R1094"/>
  <c r="X1095"/>
  <c r="V1144"/>
  <c r="P1143"/>
  <c r="V1170"/>
  <c r="P1169"/>
  <c r="V1177"/>
  <c r="P1176"/>
  <c r="W1177"/>
  <c r="T1176"/>
  <c r="T1175" s="1"/>
  <c r="T1174" s="1"/>
  <c r="T1173" s="1"/>
  <c r="X1188"/>
  <c r="W1207"/>
  <c r="R1242"/>
  <c r="P1244"/>
  <c r="V1245"/>
  <c r="X626"/>
  <c r="P655"/>
  <c r="V658"/>
  <c r="W661"/>
  <c r="W663"/>
  <c r="X673"/>
  <c r="L689"/>
  <c r="V693"/>
  <c r="W705"/>
  <c r="Q704"/>
  <c r="W720"/>
  <c r="Q719"/>
  <c r="J722"/>
  <c r="J715" s="1"/>
  <c r="N722"/>
  <c r="N715" s="1"/>
  <c r="X727"/>
  <c r="P727"/>
  <c r="V727" s="1"/>
  <c r="V728"/>
  <c r="Q742"/>
  <c r="X749"/>
  <c r="V757"/>
  <c r="P756"/>
  <c r="W760"/>
  <c r="L764"/>
  <c r="L778"/>
  <c r="L777" s="1"/>
  <c r="L776" s="1"/>
  <c r="J790"/>
  <c r="J789" s="1"/>
  <c r="N790"/>
  <c r="N789" s="1"/>
  <c r="N784" s="1"/>
  <c r="X795"/>
  <c r="X802"/>
  <c r="R801"/>
  <c r="X801" s="1"/>
  <c r="P802"/>
  <c r="V803"/>
  <c r="R808"/>
  <c r="X809"/>
  <c r="X813"/>
  <c r="X819"/>
  <c r="R818"/>
  <c r="P819"/>
  <c r="V820"/>
  <c r="P839"/>
  <c r="V840"/>
  <c r="X850"/>
  <c r="P853"/>
  <c r="V854"/>
  <c r="T853"/>
  <c r="X875"/>
  <c r="P875"/>
  <c r="V876"/>
  <c r="U905"/>
  <c r="U904" s="1"/>
  <c r="Q940"/>
  <c r="W941"/>
  <c r="P949"/>
  <c r="V950"/>
  <c r="Q979"/>
  <c r="W980"/>
  <c r="V1040"/>
  <c r="P1056"/>
  <c r="V1057"/>
  <c r="W1068"/>
  <c r="W1123"/>
  <c r="Q1122"/>
  <c r="W1122" s="1"/>
  <c r="X1123"/>
  <c r="U1122"/>
  <c r="X1122" s="1"/>
  <c r="R1128"/>
  <c r="X1128" s="1"/>
  <c r="X1129"/>
  <c r="Q1188"/>
  <c r="V1204"/>
  <c r="S1203"/>
  <c r="S1199" s="1"/>
  <c r="S1198" s="1"/>
  <c r="S1187" s="1"/>
  <c r="Q1254"/>
  <c r="W1255"/>
  <c r="P1276"/>
  <c r="V1276" s="1"/>
  <c r="V1277"/>
  <c r="Q1389"/>
  <c r="W1390"/>
  <c r="W1404"/>
  <c r="Q1399"/>
  <c r="V1448"/>
  <c r="S1447"/>
  <c r="S1446" s="1"/>
  <c r="S1441" s="1"/>
  <c r="S1440" s="1"/>
  <c r="X915"/>
  <c r="P915"/>
  <c r="V915" s="1"/>
  <c r="V916"/>
  <c r="V919"/>
  <c r="S936"/>
  <c r="S935" s="1"/>
  <c r="X941"/>
  <c r="W950"/>
  <c r="W973"/>
  <c r="S972"/>
  <c r="S966" s="1"/>
  <c r="R976"/>
  <c r="X977"/>
  <c r="X980"/>
  <c r="Q987"/>
  <c r="W988"/>
  <c r="V994"/>
  <c r="R994"/>
  <c r="X995"/>
  <c r="Q1001"/>
  <c r="W1002"/>
  <c r="W1007"/>
  <c r="P1016"/>
  <c r="V1017"/>
  <c r="R1019"/>
  <c r="X1020"/>
  <c r="V1025"/>
  <c r="R1027"/>
  <c r="X1027" s="1"/>
  <c r="X1028"/>
  <c r="V1032"/>
  <c r="V1041"/>
  <c r="R1052"/>
  <c r="X1053"/>
  <c r="R1060"/>
  <c r="X1061"/>
  <c r="Q1061"/>
  <c r="W1062"/>
  <c r="S1062"/>
  <c r="V1063"/>
  <c r="R1110"/>
  <c r="V1115"/>
  <c r="S1128"/>
  <c r="S1118" s="1"/>
  <c r="Q1175"/>
  <c r="P1207"/>
  <c r="V1208"/>
  <c r="T1206"/>
  <c r="S1217"/>
  <c r="P1237"/>
  <c r="V1238"/>
  <c r="Q1243"/>
  <c r="W1244"/>
  <c r="W1376"/>
  <c r="P1376"/>
  <c r="V1377"/>
  <c r="P1422"/>
  <c r="V1423"/>
  <c r="Q1426"/>
  <c r="W1427"/>
  <c r="W1487"/>
  <c r="Q1486"/>
  <c r="X1487"/>
  <c r="U1486"/>
  <c r="U1485" s="1"/>
  <c r="U1484" s="1"/>
  <c r="U1478" s="1"/>
  <c r="W1497"/>
  <c r="Q1496"/>
  <c r="X1497"/>
  <c r="U1496"/>
  <c r="U1495" s="1"/>
  <c r="X923"/>
  <c r="P923"/>
  <c r="V924"/>
  <c r="R927"/>
  <c r="X930"/>
  <c r="X940"/>
  <c r="V957"/>
  <c r="V974"/>
  <c r="R984"/>
  <c r="X985"/>
  <c r="X988"/>
  <c r="P990"/>
  <c r="V991"/>
  <c r="X1002"/>
  <c r="P1004"/>
  <c r="V1005"/>
  <c r="T1004"/>
  <c r="T1000" s="1"/>
  <c r="T999" s="1"/>
  <c r="T998" s="1"/>
  <c r="W1016"/>
  <c r="W1017"/>
  <c r="V1019"/>
  <c r="Q1028"/>
  <c r="W1029"/>
  <c r="W1032"/>
  <c r="S1031"/>
  <c r="R1035"/>
  <c r="X1036"/>
  <c r="T1039"/>
  <c r="Q1046"/>
  <c r="W1047"/>
  <c r="S1047"/>
  <c r="V1048"/>
  <c r="W1049"/>
  <c r="Q1053"/>
  <c r="W1054"/>
  <c r="X1062"/>
  <c r="S1066"/>
  <c r="S1065" s="1"/>
  <c r="S1064" s="1"/>
  <c r="R1073"/>
  <c r="X1074"/>
  <c r="R1106"/>
  <c r="X1107"/>
  <c r="S1111"/>
  <c r="S1110" s="1"/>
  <c r="P1136"/>
  <c r="V1136" s="1"/>
  <c r="V1137"/>
  <c r="Q1136"/>
  <c r="U1152"/>
  <c r="U1151" s="1"/>
  <c r="U1150" s="1"/>
  <c r="U1149" s="1"/>
  <c r="P1189"/>
  <c r="V1190"/>
  <c r="W1202"/>
  <c r="Q1201"/>
  <c r="R1221"/>
  <c r="V1231"/>
  <c r="P1230"/>
  <c r="W1231"/>
  <c r="T1230"/>
  <c r="T1229" s="1"/>
  <c r="T1228" s="1"/>
  <c r="T1227" s="1"/>
  <c r="T1217" s="1"/>
  <c r="P1250"/>
  <c r="V1251"/>
  <c r="W1093"/>
  <c r="R1100"/>
  <c r="X1101"/>
  <c r="P1106"/>
  <c r="V1107"/>
  <c r="V1116"/>
  <c r="X1119"/>
  <c r="Q1133"/>
  <c r="W1133" s="1"/>
  <c r="W1134"/>
  <c r="R1144"/>
  <c r="X1145"/>
  <c r="X1155"/>
  <c r="X1167"/>
  <c r="V1183"/>
  <c r="X1189"/>
  <c r="V1191"/>
  <c r="R1193"/>
  <c r="Q1194"/>
  <c r="W1195"/>
  <c r="P1195"/>
  <c r="V1196"/>
  <c r="W1208"/>
  <c r="W1225"/>
  <c r="T1236"/>
  <c r="T1235" s="1"/>
  <c r="T1234" s="1"/>
  <c r="T1233" s="1"/>
  <c r="W1239"/>
  <c r="W1245"/>
  <c r="P1255"/>
  <c r="V1256"/>
  <c r="W1277"/>
  <c r="Q1276"/>
  <c r="P1280"/>
  <c r="V1281"/>
  <c r="U1278"/>
  <c r="U1268" s="1"/>
  <c r="Q1298"/>
  <c r="W1299"/>
  <c r="Q1356"/>
  <c r="W1387"/>
  <c r="Q1386"/>
  <c r="V1400"/>
  <c r="X1404"/>
  <c r="P1404"/>
  <c r="V1404" s="1"/>
  <c r="V1405"/>
  <c r="X1513"/>
  <c r="R1512"/>
  <c r="W1532"/>
  <c r="Q1529"/>
  <c r="X1620"/>
  <c r="V1018"/>
  <c r="V1081"/>
  <c r="R1083"/>
  <c r="X1084"/>
  <c r="Q1089"/>
  <c r="W1090"/>
  <c r="P1090"/>
  <c r="V1091"/>
  <c r="V1108"/>
  <c r="Q1112"/>
  <c r="P1112"/>
  <c r="V1113"/>
  <c r="T1115"/>
  <c r="T1111" s="1"/>
  <c r="T1110" s="1"/>
  <c r="Q1119"/>
  <c r="W1120"/>
  <c r="V1126"/>
  <c r="X1134"/>
  <c r="R1138"/>
  <c r="X1139"/>
  <c r="Q1145"/>
  <c r="W1146"/>
  <c r="V1156"/>
  <c r="P1155"/>
  <c r="V1155" s="1"/>
  <c r="R1163"/>
  <c r="W1169"/>
  <c r="T1182"/>
  <c r="T1181" s="1"/>
  <c r="T1180" s="1"/>
  <c r="T1179" s="1"/>
  <c r="T1190"/>
  <c r="T1189" s="1"/>
  <c r="T1188" s="1"/>
  <c r="W1196"/>
  <c r="U1207"/>
  <c r="V1210"/>
  <c r="V1214"/>
  <c r="V1223"/>
  <c r="X1224"/>
  <c r="R1223"/>
  <c r="X1223" s="1"/>
  <c r="Q1236"/>
  <c r="W1237"/>
  <c r="U1236"/>
  <c r="U1235" s="1"/>
  <c r="U1234" s="1"/>
  <c r="U1233" s="1"/>
  <c r="U1244"/>
  <c r="U1243" s="1"/>
  <c r="U1242" s="1"/>
  <c r="U1241" s="1"/>
  <c r="U1250"/>
  <c r="U1249" s="1"/>
  <c r="U1248" s="1"/>
  <c r="U1247" s="1"/>
  <c r="R1254"/>
  <c r="Q1260"/>
  <c r="W1261"/>
  <c r="W1284"/>
  <c r="P1291"/>
  <c r="V1292"/>
  <c r="P1300"/>
  <c r="P1304"/>
  <c r="V1305"/>
  <c r="R1310"/>
  <c r="X1311"/>
  <c r="X1369"/>
  <c r="Q1379"/>
  <c r="W1379" s="1"/>
  <c r="W1380"/>
  <c r="P1380"/>
  <c r="V1381"/>
  <c r="R1437"/>
  <c r="X1438"/>
  <c r="P1522"/>
  <c r="R1523"/>
  <c r="X1524"/>
  <c r="T1079"/>
  <c r="T1078" s="1"/>
  <c r="T1077" s="1"/>
  <c r="T1076" s="1"/>
  <c r="X1090"/>
  <c r="X1112"/>
  <c r="P1122"/>
  <c r="V1123"/>
  <c r="V1138"/>
  <c r="V1162"/>
  <c r="U1195"/>
  <c r="U1194" s="1"/>
  <c r="U1193" s="1"/>
  <c r="R1201"/>
  <c r="R1203"/>
  <c r="X1203" s="1"/>
  <c r="X1204"/>
  <c r="V1211"/>
  <c r="X1212"/>
  <c r="R1211"/>
  <c r="U1220"/>
  <c r="U1219" s="1"/>
  <c r="U1218" s="1"/>
  <c r="U1217" s="1"/>
  <c r="W1222"/>
  <c r="Q1221"/>
  <c r="X1273"/>
  <c r="R1272"/>
  <c r="V1286"/>
  <c r="P1285"/>
  <c r="V1293"/>
  <c r="R1297"/>
  <c r="X1298"/>
  <c r="W1323"/>
  <c r="Q1322"/>
  <c r="Q1325"/>
  <c r="W1326"/>
  <c r="U1332"/>
  <c r="W1347"/>
  <c r="Q1346"/>
  <c r="Q1365"/>
  <c r="W1381"/>
  <c r="X1389"/>
  <c r="W1452"/>
  <c r="Q1451"/>
  <c r="R1153"/>
  <c r="Q1211"/>
  <c r="P1221"/>
  <c r="Q1223"/>
  <c r="W1223" s="1"/>
  <c r="W1256"/>
  <c r="P1261"/>
  <c r="V1262"/>
  <c r="X1266"/>
  <c r="R1265"/>
  <c r="V1282"/>
  <c r="R1291"/>
  <c r="Q1291"/>
  <c r="W1292"/>
  <c r="U1291"/>
  <c r="U1290" s="1"/>
  <c r="U1289" s="1"/>
  <c r="U1288" s="1"/>
  <c r="W1300"/>
  <c r="V1306"/>
  <c r="W1329"/>
  <c r="W1336"/>
  <c r="X1340"/>
  <c r="R1335"/>
  <c r="V1364"/>
  <c r="R1374"/>
  <c r="X1375"/>
  <c r="X1376"/>
  <c r="W1377"/>
  <c r="R1384"/>
  <c r="X1385"/>
  <c r="X1390"/>
  <c r="P1392"/>
  <c r="V1393"/>
  <c r="W1400"/>
  <c r="V1409"/>
  <c r="P1408"/>
  <c r="Q1431"/>
  <c r="V1459"/>
  <c r="P1458"/>
  <c r="P1492"/>
  <c r="V1493"/>
  <c r="V1272"/>
  <c r="W1285"/>
  <c r="X1325"/>
  <c r="Q1334"/>
  <c r="V1339"/>
  <c r="P1338"/>
  <c r="V1338" s="1"/>
  <c r="R1359"/>
  <c r="X1360"/>
  <c r="Q1369"/>
  <c r="W1370"/>
  <c r="P1370"/>
  <c r="V1371"/>
  <c r="W1408"/>
  <c r="Q1407"/>
  <c r="R1467"/>
  <c r="X1468"/>
  <c r="S1474"/>
  <c r="S1473" s="1"/>
  <c r="S1472" s="1"/>
  <c r="V1571"/>
  <c r="P1570"/>
  <c r="V1570" s="1"/>
  <c r="S1567"/>
  <c r="S1566" s="1"/>
  <c r="S1565" s="1"/>
  <c r="S1564" s="1"/>
  <c r="V1572"/>
  <c r="W1409"/>
  <c r="Q1414"/>
  <c r="W1423"/>
  <c r="U1429"/>
  <c r="V1433"/>
  <c r="V1442"/>
  <c r="W1461"/>
  <c r="Q1460"/>
  <c r="W1460" s="1"/>
  <c r="V1462"/>
  <c r="Q1475"/>
  <c r="W1476"/>
  <c r="W1493"/>
  <c r="V1500"/>
  <c r="P1499"/>
  <c r="P1560"/>
  <c r="V1560" s="1"/>
  <c r="V1561"/>
  <c r="W1570"/>
  <c r="Q1567"/>
  <c r="Q1577"/>
  <c r="W1578"/>
  <c r="W1586"/>
  <c r="Q1585"/>
  <c r="P1604"/>
  <c r="V1605"/>
  <c r="W1652"/>
  <c r="Q1651"/>
  <c r="V1656"/>
  <c r="P1655"/>
  <c r="P1416"/>
  <c r="T1415"/>
  <c r="T1414" s="1"/>
  <c r="T1413" s="1"/>
  <c r="T1412" s="1"/>
  <c r="V1424"/>
  <c r="T1432"/>
  <c r="T1431" s="1"/>
  <c r="T1430" s="1"/>
  <c r="T1429" s="1"/>
  <c r="W1435"/>
  <c r="V1443"/>
  <c r="Q1458"/>
  <c r="X1476"/>
  <c r="R1484"/>
  <c r="U1492"/>
  <c r="U1491" s="1"/>
  <c r="T1509"/>
  <c r="T1508" s="1"/>
  <c r="T1507" s="1"/>
  <c r="W1514"/>
  <c r="R1537"/>
  <c r="Q1543"/>
  <c r="W1544"/>
  <c r="X1558"/>
  <c r="U1557"/>
  <c r="X1578"/>
  <c r="X1586"/>
  <c r="V1609"/>
  <c r="X1613"/>
  <c r="X1679"/>
  <c r="R1678"/>
  <c r="W1416"/>
  <c r="P1432"/>
  <c r="W1436"/>
  <c r="V1437"/>
  <c r="T1442"/>
  <c r="R1444"/>
  <c r="T1446"/>
  <c r="R1447"/>
  <c r="X1448"/>
  <c r="V1452"/>
  <c r="P1451"/>
  <c r="W1462"/>
  <c r="W1470"/>
  <c r="Q1467"/>
  <c r="R1475"/>
  <c r="Q1482"/>
  <c r="P1486"/>
  <c r="V1487"/>
  <c r="Q1492"/>
  <c r="W1501"/>
  <c r="Q1500"/>
  <c r="Q1510"/>
  <c r="W1513"/>
  <c r="Q1512"/>
  <c r="W1512" s="1"/>
  <c r="V1519"/>
  <c r="P1518"/>
  <c r="R1520"/>
  <c r="S1542"/>
  <c r="S1541" s="1"/>
  <c r="S1540" s="1"/>
  <c r="V1548"/>
  <c r="P1547"/>
  <c r="P1552"/>
  <c r="V1553"/>
  <c r="V1557"/>
  <c r="V1558"/>
  <c r="R1577"/>
  <c r="R1502"/>
  <c r="X1502" s="1"/>
  <c r="X1503"/>
  <c r="X1510"/>
  <c r="R1529"/>
  <c r="X1530"/>
  <c r="X1532"/>
  <c r="P1534"/>
  <c r="X1544"/>
  <c r="W1546"/>
  <c r="V1554"/>
  <c r="W1588"/>
  <c r="W1607"/>
  <c r="Q1606"/>
  <c r="V1643"/>
  <c r="P1642"/>
  <c r="V1497"/>
  <c r="V1511"/>
  <c r="P1510"/>
  <c r="Q1537"/>
  <c r="W1538"/>
  <c r="R1543"/>
  <c r="X1546"/>
  <c r="W1547"/>
  <c r="W1568"/>
  <c r="V1579"/>
  <c r="W1580"/>
  <c r="X1585"/>
  <c r="P1585"/>
  <c r="V1586"/>
  <c r="T1584"/>
  <c r="T1583" s="1"/>
  <c r="T1582" s="1"/>
  <c r="V1589"/>
  <c r="R1594"/>
  <c r="X1602"/>
  <c r="R1601"/>
  <c r="X1628"/>
  <c r="R1627"/>
  <c r="W1601"/>
  <c r="X1606"/>
  <c r="U1605"/>
  <c r="W1609"/>
  <c r="X1610"/>
  <c r="U1609"/>
  <c r="U1608" s="1"/>
  <c r="X1623"/>
  <c r="R1622"/>
  <c r="X1622" s="1"/>
  <c r="Q1644"/>
  <c r="W1645"/>
  <c r="R1663"/>
  <c r="X1664"/>
  <c r="P1674"/>
  <c r="V1675"/>
  <c r="U1674"/>
  <c r="U1673" s="1"/>
  <c r="U1672" s="1"/>
  <c r="X1675"/>
  <c r="R1710"/>
  <c r="V1602"/>
  <c r="P1601"/>
  <c r="W1610"/>
  <c r="W1614"/>
  <c r="Q1613"/>
  <c r="W1621"/>
  <c r="Q1620"/>
  <c r="V1636"/>
  <c r="P1635"/>
  <c r="Q1673"/>
  <c r="W1674"/>
  <c r="R1703"/>
  <c r="X1704"/>
  <c r="P1622"/>
  <c r="V1622" s="1"/>
  <c r="X1645"/>
  <c r="R1653"/>
  <c r="X1653" s="1"/>
  <c r="X1654"/>
  <c r="T1658"/>
  <c r="V1668"/>
  <c r="P1667"/>
  <c r="S1703"/>
  <c r="S1702" s="1"/>
  <c r="S1701" s="1"/>
  <c r="W1717"/>
  <c r="P1717"/>
  <c r="V1718"/>
  <c r="V1721"/>
  <c r="P1720"/>
  <c r="W1635"/>
  <c r="R1643"/>
  <c r="X1644"/>
  <c r="V1659"/>
  <c r="P1658"/>
  <c r="Q1666"/>
  <c r="W1667"/>
  <c r="R1673"/>
  <c r="Q1688"/>
  <c r="W1689"/>
  <c r="P1711"/>
  <c r="V1712"/>
  <c r="W1628"/>
  <c r="P1638"/>
  <c r="V1638" s="1"/>
  <c r="S1649"/>
  <c r="S1648" s="1"/>
  <c r="R1651"/>
  <c r="X1655"/>
  <c r="X1661"/>
  <c r="R1660"/>
  <c r="S1687"/>
  <c r="S1686" s="1"/>
  <c r="S1685" s="1"/>
  <c r="W1712"/>
  <c r="Q1711"/>
  <c r="X1712"/>
  <c r="U1711"/>
  <c r="U1710" s="1"/>
  <c r="U1701" s="1"/>
  <c r="T1720"/>
  <c r="T1716" s="1"/>
  <c r="T1715" s="1"/>
  <c r="T1714" s="1"/>
  <c r="W1675"/>
  <c r="X1681"/>
  <c r="X1689"/>
  <c r="X1697"/>
  <c r="W1718"/>
  <c r="Q1678"/>
  <c r="W1679"/>
  <c r="U1678"/>
  <c r="U1677" s="1"/>
  <c r="R1688"/>
  <c r="Q1694"/>
  <c r="W1695"/>
  <c r="U1694"/>
  <c r="U1693" s="1"/>
  <c r="U1692" s="1"/>
  <c r="U1717"/>
  <c r="S1720"/>
  <c r="S1716" s="1"/>
  <c r="S1715" s="1"/>
  <c r="S1714" s="1"/>
  <c r="V1723"/>
  <c r="W1725"/>
  <c r="O450" l="1"/>
  <c r="O445" s="1"/>
  <c r="I20" i="6" s="1"/>
  <c r="V726" i="5"/>
  <c r="W1161"/>
  <c r="P454"/>
  <c r="V454" s="1"/>
  <c r="V813"/>
  <c r="Q694"/>
  <c r="W694" s="1"/>
  <c r="W730"/>
  <c r="R1229"/>
  <c r="X1229" s="1"/>
  <c r="W1655"/>
  <c r="X1500"/>
  <c r="W1265"/>
  <c r="V707"/>
  <c r="T966"/>
  <c r="V812"/>
  <c r="U1014"/>
  <c r="J483"/>
  <c r="T618"/>
  <c r="X1231"/>
  <c r="W1153"/>
  <c r="U526"/>
  <c r="P843"/>
  <c r="V706"/>
  <c r="W970"/>
  <c r="X503"/>
  <c r="V1083"/>
  <c r="S1000"/>
  <c r="S999" s="1"/>
  <c r="S998" s="1"/>
  <c r="M697"/>
  <c r="G45" i="6" s="1"/>
  <c r="Q1720" i="5"/>
  <c r="Q1716" s="1"/>
  <c r="W1162"/>
  <c r="Q1249"/>
  <c r="Q1248" s="1"/>
  <c r="R1567"/>
  <c r="P1435"/>
  <c r="V1435" s="1"/>
  <c r="X1168"/>
  <c r="W1251"/>
  <c r="W858"/>
  <c r="V1530"/>
  <c r="G28" i="6"/>
  <c r="T579" i="5"/>
  <c r="X1496"/>
  <c r="X1486"/>
  <c r="X1485"/>
  <c r="S1105"/>
  <c r="S1097" s="1"/>
  <c r="S556"/>
  <c r="S555" s="1"/>
  <c r="S550" s="1"/>
  <c r="M34" i="6" s="1"/>
  <c r="W665" i="5"/>
  <c r="M669"/>
  <c r="G44" i="6" s="1"/>
  <c r="M784" i="5"/>
  <c r="G68" i="6" s="1"/>
  <c r="W1659" i="5"/>
  <c r="X1427"/>
  <c r="W1100"/>
  <c r="V858"/>
  <c r="T716"/>
  <c r="W716" s="1"/>
  <c r="P825"/>
  <c r="R1392"/>
  <c r="R1388" s="1"/>
  <c r="R1383" s="1"/>
  <c r="X1383" s="1"/>
  <c r="Q494"/>
  <c r="Q493" s="1"/>
  <c r="W493" s="1"/>
  <c r="X952"/>
  <c r="W1357"/>
  <c r="Q807"/>
  <c r="W679"/>
  <c r="W666"/>
  <c r="T524"/>
  <c r="W524" s="1"/>
  <c r="X492"/>
  <c r="V459"/>
  <c r="P452"/>
  <c r="S1332"/>
  <c r="W729"/>
  <c r="X491"/>
  <c r="S1373"/>
  <c r="V1688"/>
  <c r="V1475"/>
  <c r="U1716"/>
  <c r="U1715" s="1"/>
  <c r="U1714" s="1"/>
  <c r="R1666"/>
  <c r="X1666" s="1"/>
  <c r="X1415"/>
  <c r="W1356"/>
  <c r="P674"/>
  <c r="P670" s="1"/>
  <c r="V863"/>
  <c r="Q516"/>
  <c r="P1528"/>
  <c r="V1529"/>
  <c r="T1038"/>
  <c r="X853"/>
  <c r="R498"/>
  <c r="R497" s="1"/>
  <c r="R496" s="1"/>
  <c r="X496" s="1"/>
  <c r="W863"/>
  <c r="R1457"/>
  <c r="R1456" s="1"/>
  <c r="R1455" s="1"/>
  <c r="V1344"/>
  <c r="S650"/>
  <c r="S649" s="1"/>
  <c r="S648" s="1"/>
  <c r="L784"/>
  <c r="F68" i="6" s="1"/>
  <c r="X1484" i="5"/>
  <c r="P689"/>
  <c r="X833"/>
  <c r="U632"/>
  <c r="U631" s="1"/>
  <c r="W961"/>
  <c r="R960"/>
  <c r="X960" s="1"/>
  <c r="W1444"/>
  <c r="W701"/>
  <c r="X1004"/>
  <c r="V1094"/>
  <c r="W1070"/>
  <c r="S1014"/>
  <c r="V787"/>
  <c r="W1443"/>
  <c r="Q892"/>
  <c r="W892" s="1"/>
  <c r="Q649"/>
  <c r="X679"/>
  <c r="X858"/>
  <c r="P466"/>
  <c r="J697"/>
  <c r="D45" i="6" s="1"/>
  <c r="V586" i="5"/>
  <c r="K601"/>
  <c r="E39" i="6" s="1"/>
  <c r="V880" i="5"/>
  <c r="O669"/>
  <c r="I44" i="6" s="1"/>
  <c r="X1182" i="5"/>
  <c r="S1148"/>
  <c r="N763"/>
  <c r="H64" i="6"/>
  <c r="K763" i="5"/>
  <c r="E64" i="6"/>
  <c r="L763" i="5"/>
  <c r="F64" i="6"/>
  <c r="N775" i="5"/>
  <c r="H68" i="6"/>
  <c r="K739" i="5"/>
  <c r="E50" i="6"/>
  <c r="N739" i="5"/>
  <c r="H50" i="6"/>
  <c r="L739" i="5"/>
  <c r="F50" i="6"/>
  <c r="M763" i="5"/>
  <c r="G64" i="6"/>
  <c r="F67"/>
  <c r="J763" i="5"/>
  <c r="D64" i="6"/>
  <c r="M739" i="5"/>
  <c r="G50" i="6"/>
  <c r="U784" i="5"/>
  <c r="O68" i="6" s="1"/>
  <c r="O739" i="5"/>
  <c r="I50" i="6"/>
  <c r="O763" i="5"/>
  <c r="I64" i="6"/>
  <c r="O519" i="5"/>
  <c r="I28" i="6"/>
  <c r="Q868" i="5"/>
  <c r="W868" s="1"/>
  <c r="W869"/>
  <c r="T921"/>
  <c r="T903" s="1"/>
  <c r="W926"/>
  <c r="S763"/>
  <c r="M64" i="6"/>
  <c r="S1691" i="5"/>
  <c r="V1577"/>
  <c r="U1206"/>
  <c r="U1198" s="1"/>
  <c r="U1187" s="1"/>
  <c r="U1148" s="1"/>
  <c r="V608"/>
  <c r="W548"/>
  <c r="Q686"/>
  <c r="W686" s="1"/>
  <c r="W870"/>
  <c r="V1594"/>
  <c r="R1481"/>
  <c r="R1480" s="1"/>
  <c r="X1317"/>
  <c r="Q1552"/>
  <c r="S1216"/>
  <c r="X1110"/>
  <c r="P1039"/>
  <c r="X839"/>
  <c r="P778"/>
  <c r="V778" s="1"/>
  <c r="W726"/>
  <c r="W1023"/>
  <c r="R1174"/>
  <c r="X1009"/>
  <c r="U697"/>
  <c r="O45" i="6" s="1"/>
  <c r="W596" i="5"/>
  <c r="U763"/>
  <c r="O64" i="6"/>
  <c r="U739" i="5"/>
  <c r="O50" i="6"/>
  <c r="S752" i="5"/>
  <c r="T1657"/>
  <c r="X1410"/>
  <c r="X1111"/>
  <c r="X640"/>
  <c r="V625"/>
  <c r="T739"/>
  <c r="N50" i="6"/>
  <c r="T763" i="5"/>
  <c r="N64" i="6"/>
  <c r="U752" i="5"/>
  <c r="S519"/>
  <c r="M28" i="6"/>
  <c r="P1592" i="5"/>
  <c r="P1591" s="1"/>
  <c r="V1591" s="1"/>
  <c r="W1561"/>
  <c r="T1506"/>
  <c r="T1505" s="1"/>
  <c r="V1009"/>
  <c r="T1198"/>
  <c r="T1187" s="1"/>
  <c r="T1148" s="1"/>
  <c r="V779"/>
  <c r="T752"/>
  <c r="W1163"/>
  <c r="W1128"/>
  <c r="U1039"/>
  <c r="V659"/>
  <c r="W566"/>
  <c r="X497"/>
  <c r="W611"/>
  <c r="N601"/>
  <c r="X446"/>
  <c r="O528"/>
  <c r="O483"/>
  <c r="O438" s="1"/>
  <c r="W675"/>
  <c r="L697"/>
  <c r="F45" i="6" s="1"/>
  <c r="K483" i="5"/>
  <c r="K528"/>
  <c r="W616"/>
  <c r="Q447"/>
  <c r="Q446" s="1"/>
  <c r="N697"/>
  <c r="H45" i="6" s="1"/>
  <c r="W615" i="5"/>
  <c r="W628"/>
  <c r="Q613"/>
  <c r="W613" s="1"/>
  <c r="T483"/>
  <c r="L483"/>
  <c r="Q478"/>
  <c r="Q477" s="1"/>
  <c r="M528"/>
  <c r="J438"/>
  <c r="R759"/>
  <c r="X759" s="1"/>
  <c r="K697"/>
  <c r="E45" i="6" s="1"/>
  <c r="W592" i="5"/>
  <c r="V805"/>
  <c r="K648"/>
  <c r="N528"/>
  <c r="X720"/>
  <c r="N669"/>
  <c r="H44" i="6" s="1"/>
  <c r="V616" i="5"/>
  <c r="M564"/>
  <c r="J528"/>
  <c r="N483"/>
  <c r="N438" s="1"/>
  <c r="U483"/>
  <c r="U602"/>
  <c r="U601" s="1"/>
  <c r="O39" i="6" s="1"/>
  <c r="X677" i="5"/>
  <c r="K669"/>
  <c r="E44" i="6" s="1"/>
  <c r="X735" i="5"/>
  <c r="W690"/>
  <c r="X736"/>
  <c r="L669"/>
  <c r="F44" i="6" s="1"/>
  <c r="W681" i="5"/>
  <c r="T632"/>
  <c r="T631" s="1"/>
  <c r="K784"/>
  <c r="S715"/>
  <c r="W556"/>
  <c r="T669"/>
  <c r="V634"/>
  <c r="X678"/>
  <c r="U670"/>
  <c r="U669" s="1"/>
  <c r="M438"/>
  <c r="X448"/>
  <c r="X494"/>
  <c r="W691"/>
  <c r="L565"/>
  <c r="W555"/>
  <c r="X447"/>
  <c r="V1576"/>
  <c r="V1522"/>
  <c r="P1309"/>
  <c r="P1308" s="1"/>
  <c r="V1308" s="1"/>
  <c r="P888"/>
  <c r="V888" s="1"/>
  <c r="W683"/>
  <c r="V538"/>
  <c r="W466"/>
  <c r="U550"/>
  <c r="Q498"/>
  <c r="W500"/>
  <c r="X701"/>
  <c r="U1647"/>
  <c r="U1615" s="1"/>
  <c r="S842"/>
  <c r="S837" s="1"/>
  <c r="U1422"/>
  <c r="U1421" s="1"/>
  <c r="U1420" s="1"/>
  <c r="U1395" s="1"/>
  <c r="S1331"/>
  <c r="V1523"/>
  <c r="X498"/>
  <c r="X472"/>
  <c r="W952"/>
  <c r="W659"/>
  <c r="X1609"/>
  <c r="X657"/>
  <c r="S1267"/>
  <c r="T603"/>
  <c r="T602" s="1"/>
  <c r="W1627"/>
  <c r="V1543"/>
  <c r="X1457"/>
  <c r="X1409"/>
  <c r="W1335"/>
  <c r="W1138"/>
  <c r="W1168"/>
  <c r="V1099"/>
  <c r="W944"/>
  <c r="R1407"/>
  <c r="X1407" s="1"/>
  <c r="V976"/>
  <c r="W927"/>
  <c r="X551"/>
  <c r="V491"/>
  <c r="R698"/>
  <c r="X698" s="1"/>
  <c r="R1281"/>
  <c r="T1014"/>
  <c r="T997" s="1"/>
  <c r="S1495"/>
  <c r="S1490" s="1"/>
  <c r="S1489" s="1"/>
  <c r="S1453" s="1"/>
  <c r="Q1031"/>
  <c r="W1031" s="1"/>
  <c r="X502"/>
  <c r="Q993"/>
  <c r="W993" s="1"/>
  <c r="W994"/>
  <c r="V1316"/>
  <c r="V1315"/>
  <c r="W1136"/>
  <c r="R1228"/>
  <c r="R1227" s="1"/>
  <c r="X1227" s="1"/>
  <c r="V853"/>
  <c r="X1080"/>
  <c r="V808"/>
  <c r="U898"/>
  <c r="U897" s="1"/>
  <c r="U896" s="1"/>
  <c r="U895" s="1"/>
  <c r="W480"/>
  <c r="X462"/>
  <c r="V561"/>
  <c r="W680"/>
  <c r="X1560"/>
  <c r="T1563"/>
  <c r="V1467"/>
  <c r="U1373"/>
  <c r="U1331" s="1"/>
  <c r="V1466"/>
  <c r="P1271"/>
  <c r="P1270" s="1"/>
  <c r="V1100"/>
  <c r="W1137"/>
  <c r="V927"/>
  <c r="U903"/>
  <c r="X787"/>
  <c r="X700"/>
  <c r="R905"/>
  <c r="R904" s="1"/>
  <c r="X461"/>
  <c r="X507"/>
  <c r="V926"/>
  <c r="X1554"/>
  <c r="R1553"/>
  <c r="U578"/>
  <c r="O38" i="6" s="1"/>
  <c r="T797" i="5"/>
  <c r="T784" s="1"/>
  <c r="N68" i="6" s="1"/>
  <c r="R1588" i="5"/>
  <c r="X1589"/>
  <c r="W1523"/>
  <c r="Q1522"/>
  <c r="W1522" s="1"/>
  <c r="X596"/>
  <c r="R595"/>
  <c r="W652"/>
  <c r="Q905"/>
  <c r="Q904" s="1"/>
  <c r="R741"/>
  <c r="R740" s="1"/>
  <c r="L50" i="6" s="1"/>
  <c r="T1373" i="5"/>
  <c r="T1331" s="1"/>
  <c r="Q603"/>
  <c r="X1674"/>
  <c r="P1567"/>
  <c r="V1567" s="1"/>
  <c r="V1474"/>
  <c r="W1182"/>
  <c r="V1203"/>
  <c r="W1181"/>
  <c r="X1493"/>
  <c r="S1506"/>
  <c r="P1343"/>
  <c r="P1342" s="1"/>
  <c r="V1342" s="1"/>
  <c r="S619"/>
  <c r="V619" s="1"/>
  <c r="R489"/>
  <c r="R488" s="1"/>
  <c r="X488" s="1"/>
  <c r="X1306"/>
  <c r="R1305"/>
  <c r="V1345"/>
  <c r="X471"/>
  <c r="W1720"/>
  <c r="P1556"/>
  <c r="V1556" s="1"/>
  <c r="U934"/>
  <c r="V499"/>
  <c r="S873"/>
  <c r="V604"/>
  <c r="V1608"/>
  <c r="W603"/>
  <c r="U842"/>
  <c r="U837" s="1"/>
  <c r="U831" s="1"/>
  <c r="W682"/>
  <c r="T1669"/>
  <c r="W1560"/>
  <c r="Q1556"/>
  <c r="W1556" s="1"/>
  <c r="W960"/>
  <c r="Q948"/>
  <c r="Q947" s="1"/>
  <c r="S1669"/>
  <c r="X1322"/>
  <c r="R1321"/>
  <c r="V535"/>
  <c r="P534"/>
  <c r="V534" s="1"/>
  <c r="P485"/>
  <c r="V486"/>
  <c r="W1557"/>
  <c r="X1365"/>
  <c r="V1128"/>
  <c r="T578"/>
  <c r="N38" i="6" s="1"/>
  <c r="X1180" i="5"/>
  <c r="T1453"/>
  <c r="W1594"/>
  <c r="Q1593"/>
  <c r="P1693"/>
  <c r="V1694"/>
  <c r="S1536"/>
  <c r="V1537"/>
  <c r="W1703"/>
  <c r="Q1702"/>
  <c r="W1702" s="1"/>
  <c r="W1080"/>
  <c r="Q1079"/>
  <c r="Q1078" s="1"/>
  <c r="Q1077" s="1"/>
  <c r="X1329"/>
  <c r="R1328"/>
  <c r="W1282"/>
  <c r="Q1281"/>
  <c r="U1038"/>
  <c r="U997" s="1"/>
  <c r="V689"/>
  <c r="L450"/>
  <c r="L445" s="1"/>
  <c r="F20" i="6" s="1"/>
  <c r="V628" i="5"/>
  <c r="P627"/>
  <c r="X707"/>
  <c r="R706"/>
  <c r="X706" s="1"/>
  <c r="Q485"/>
  <c r="W486"/>
  <c r="T450"/>
  <c r="T445" s="1"/>
  <c r="Q756"/>
  <c r="W757"/>
  <c r="V1687"/>
  <c r="W1432"/>
  <c r="P1152"/>
  <c r="P1151" s="1"/>
  <c r="W902"/>
  <c r="T526"/>
  <c r="R1285"/>
  <c r="X1286"/>
  <c r="U1066"/>
  <c r="U1065" s="1"/>
  <c r="U1064" s="1"/>
  <c r="Q778"/>
  <c r="Q777" s="1"/>
  <c r="Q776" s="1"/>
  <c r="K67" i="6" s="1"/>
  <c r="W779" i="5"/>
  <c r="V1686"/>
  <c r="X1181"/>
  <c r="T530"/>
  <c r="T529" s="1"/>
  <c r="W472"/>
  <c r="S1647"/>
  <c r="S1615" s="1"/>
  <c r="V1663"/>
  <c r="X1249"/>
  <c r="T901"/>
  <c r="W901" s="1"/>
  <c r="T947"/>
  <c r="R885"/>
  <c r="R884" s="1"/>
  <c r="V691"/>
  <c r="X1243"/>
  <c r="J564"/>
  <c r="W541"/>
  <c r="P771"/>
  <c r="V771" s="1"/>
  <c r="V1481"/>
  <c r="P1480"/>
  <c r="X1635"/>
  <c r="P1384"/>
  <c r="V1384" s="1"/>
  <c r="V1385"/>
  <c r="W1393"/>
  <c r="Q1392"/>
  <c r="W1392" s="1"/>
  <c r="T1118"/>
  <c r="T1105" s="1"/>
  <c r="T1097" s="1"/>
  <c r="S1396"/>
  <c r="S1395" s="1"/>
  <c r="X1432"/>
  <c r="R1431"/>
  <c r="Q1305"/>
  <c r="W1306"/>
  <c r="W1310"/>
  <c r="Q1309"/>
  <c r="W1351"/>
  <c r="Q1350"/>
  <c r="X970"/>
  <c r="R969"/>
  <c r="T935"/>
  <c r="W627"/>
  <c r="K450"/>
  <c r="K445" s="1"/>
  <c r="E20" i="6" s="1"/>
  <c r="X469" i="5"/>
  <c r="R466"/>
  <c r="X466" s="1"/>
  <c r="V1360"/>
  <c r="P1359"/>
  <c r="S685"/>
  <c r="V685" s="1"/>
  <c r="V686"/>
  <c r="X559"/>
  <c r="R556"/>
  <c r="T1216"/>
  <c r="P1626"/>
  <c r="V1627"/>
  <c r="T1267"/>
  <c r="V1265"/>
  <c r="P1264"/>
  <c r="V1264" s="1"/>
  <c r="W1317"/>
  <c r="Q1316"/>
  <c r="T1647"/>
  <c r="T1615" s="1"/>
  <c r="X1634"/>
  <c r="R1608"/>
  <c r="X1608" s="1"/>
  <c r="V1199"/>
  <c r="W743"/>
  <c r="W1230"/>
  <c r="X611"/>
  <c r="V1612"/>
  <c r="S1563"/>
  <c r="X1244"/>
  <c r="V1329"/>
  <c r="P1031"/>
  <c r="V1031" s="1"/>
  <c r="O697"/>
  <c r="T1441"/>
  <c r="T1440" s="1"/>
  <c r="T1395" s="1"/>
  <c r="U1490"/>
  <c r="U1489" s="1"/>
  <c r="U1453" s="1"/>
  <c r="X1451"/>
  <c r="X1392"/>
  <c r="W1358"/>
  <c r="U1118"/>
  <c r="U1105" s="1"/>
  <c r="U1097" s="1"/>
  <c r="W1107"/>
  <c r="X1207"/>
  <c r="R1118"/>
  <c r="Q1015"/>
  <c r="W1015" s="1"/>
  <c r="W1176"/>
  <c r="X1052"/>
  <c r="T842"/>
  <c r="T837" s="1"/>
  <c r="T831" s="1"/>
  <c r="V879"/>
  <c r="V690"/>
  <c r="X768"/>
  <c r="V717"/>
  <c r="V559"/>
  <c r="S702"/>
  <c r="T899"/>
  <c r="W899" s="1"/>
  <c r="X655"/>
  <c r="V878"/>
  <c r="W595"/>
  <c r="U450"/>
  <c r="U445" s="1"/>
  <c r="O20" i="6" s="1"/>
  <c r="S583" i="5"/>
  <c r="V583" s="1"/>
  <c r="P1677"/>
  <c r="V1677" s="1"/>
  <c r="V1678"/>
  <c r="W1520"/>
  <c r="Q1519"/>
  <c r="W1639"/>
  <c r="Q1638"/>
  <c r="X1400"/>
  <c r="R1399"/>
  <c r="W1359"/>
  <c r="X1346"/>
  <c r="R1345"/>
  <c r="V1352"/>
  <c r="P1351"/>
  <c r="S903"/>
  <c r="X1251"/>
  <c r="X704"/>
  <c r="R703"/>
  <c r="X703" s="1"/>
  <c r="W505"/>
  <c r="W464"/>
  <c r="U1267"/>
  <c r="R1702"/>
  <c r="X1703"/>
  <c r="X1627"/>
  <c r="R1626"/>
  <c r="R1413"/>
  <c r="X1414"/>
  <c r="Q1584"/>
  <c r="W1585"/>
  <c r="Q1474"/>
  <c r="W1475"/>
  <c r="R1363"/>
  <c r="X1364"/>
  <c r="R1296"/>
  <c r="X1296" s="1"/>
  <c r="X1297"/>
  <c r="R1436"/>
  <c r="X1437"/>
  <c r="W1115"/>
  <c r="P1229"/>
  <c r="V1230"/>
  <c r="Q1485"/>
  <c r="W1486"/>
  <c r="W940"/>
  <c r="Q936"/>
  <c r="P1142"/>
  <c r="V1143"/>
  <c r="P791"/>
  <c r="V792"/>
  <c r="R766"/>
  <c r="X767"/>
  <c r="V716"/>
  <c r="R665"/>
  <c r="X666"/>
  <c r="Q461"/>
  <c r="W461" s="1"/>
  <c r="W462"/>
  <c r="P441"/>
  <c r="V442"/>
  <c r="R1720"/>
  <c r="X1723"/>
  <c r="V516"/>
  <c r="P515"/>
  <c r="V515" s="1"/>
  <c r="V972"/>
  <c r="L528"/>
  <c r="P1181"/>
  <c r="V1182"/>
  <c r="R936"/>
  <c r="X937"/>
  <c r="P968"/>
  <c r="V969"/>
  <c r="R895"/>
  <c r="X896"/>
  <c r="U1691"/>
  <c r="R1687"/>
  <c r="X1688"/>
  <c r="V1685"/>
  <c r="V1658"/>
  <c r="V1649"/>
  <c r="V1720"/>
  <c r="P1716"/>
  <c r="V1717"/>
  <c r="V1702"/>
  <c r="P1666"/>
  <c r="V1667"/>
  <c r="W1658"/>
  <c r="R1632"/>
  <c r="X1632" s="1"/>
  <c r="X1633"/>
  <c r="X1711"/>
  <c r="U1671"/>
  <c r="U1670" s="1"/>
  <c r="X1663"/>
  <c r="X1499"/>
  <c r="R1495"/>
  <c r="X1495" s="1"/>
  <c r="P1574"/>
  <c r="V1574" s="1"/>
  <c r="V1575"/>
  <c r="P1546"/>
  <c r="V1547"/>
  <c r="Q1466"/>
  <c r="W1467"/>
  <c r="P1450"/>
  <c r="V1451"/>
  <c r="Q1542"/>
  <c r="W1543"/>
  <c r="X1456"/>
  <c r="W1442"/>
  <c r="P1415"/>
  <c r="V1416"/>
  <c r="W1414"/>
  <c r="Q1413"/>
  <c r="R1315"/>
  <c r="X1316"/>
  <c r="P1457"/>
  <c r="V1458"/>
  <c r="V1408"/>
  <c r="P1407"/>
  <c r="R1264"/>
  <c r="X1265"/>
  <c r="V1261"/>
  <c r="P1220"/>
  <c r="V1221"/>
  <c r="X1491"/>
  <c r="Q1321"/>
  <c r="W1322"/>
  <c r="R1271"/>
  <c r="X1272"/>
  <c r="U1216"/>
  <c r="V1473"/>
  <c r="R1309"/>
  <c r="X1310"/>
  <c r="P1303"/>
  <c r="V1304"/>
  <c r="V1291"/>
  <c r="P1290"/>
  <c r="W1264"/>
  <c r="Q1235"/>
  <c r="W1236"/>
  <c r="P1089"/>
  <c r="V1090"/>
  <c r="X1083"/>
  <c r="R1079"/>
  <c r="R1619"/>
  <c r="P1399"/>
  <c r="X1250"/>
  <c r="X1194"/>
  <c r="R1143"/>
  <c r="X1144"/>
  <c r="X1248"/>
  <c r="Q1052"/>
  <c r="W1052" s="1"/>
  <c r="W1053"/>
  <c r="X1035"/>
  <c r="R1031"/>
  <c r="X1031" s="1"/>
  <c r="R983"/>
  <c r="X984"/>
  <c r="P1421"/>
  <c r="V1422"/>
  <c r="V1062"/>
  <c r="S1061"/>
  <c r="R1059"/>
  <c r="X1059" s="1"/>
  <c r="X1060"/>
  <c r="Q1000"/>
  <c r="W1001"/>
  <c r="W979"/>
  <c r="Q972"/>
  <c r="W972" s="1"/>
  <c r="P948"/>
  <c r="V949"/>
  <c r="W807"/>
  <c r="Q703"/>
  <c r="W704"/>
  <c r="R1241"/>
  <c r="X1241" s="1"/>
  <c r="X1242"/>
  <c r="R1093"/>
  <c r="X1093" s="1"/>
  <c r="X1094"/>
  <c r="P1066"/>
  <c r="V1067"/>
  <c r="Q885"/>
  <c r="W886"/>
  <c r="Q804"/>
  <c r="W804" s="1"/>
  <c r="W805"/>
  <c r="R790"/>
  <c r="X791"/>
  <c r="T777"/>
  <c r="P745"/>
  <c r="V745" s="1"/>
  <c r="V746"/>
  <c r="P722"/>
  <c r="V722" s="1"/>
  <c r="V723"/>
  <c r="X717"/>
  <c r="R716"/>
  <c r="Q709"/>
  <c r="W709" s="1"/>
  <c r="W710"/>
  <c r="P703"/>
  <c r="V704"/>
  <c r="P832"/>
  <c r="V833"/>
  <c r="W813"/>
  <c r="Q812"/>
  <c r="W812" s="1"/>
  <c r="W799"/>
  <c r="X786"/>
  <c r="R785"/>
  <c r="Q734"/>
  <c r="W735"/>
  <c r="X644"/>
  <c r="R643"/>
  <c r="X616"/>
  <c r="R615"/>
  <c r="X592"/>
  <c r="R591"/>
  <c r="X591" s="1"/>
  <c r="X575"/>
  <c r="R574"/>
  <c r="X547"/>
  <c r="R546"/>
  <c r="X546" s="1"/>
  <c r="V531"/>
  <c r="X510"/>
  <c r="R509"/>
  <c r="V472"/>
  <c r="P471"/>
  <c r="V471" s="1"/>
  <c r="P614"/>
  <c r="V615"/>
  <c r="V544"/>
  <c r="P543"/>
  <c r="V543" s="1"/>
  <c r="X581"/>
  <c r="V541"/>
  <c r="P540"/>
  <c r="V540" s="1"/>
  <c r="R999"/>
  <c r="X1000"/>
  <c r="P905"/>
  <c r="V906"/>
  <c r="R878"/>
  <c r="X879"/>
  <c r="Q722"/>
  <c r="W722" s="1"/>
  <c r="Q1179"/>
  <c r="W1179" s="1"/>
  <c r="W1180"/>
  <c r="X1043"/>
  <c r="R1039"/>
  <c r="P1022"/>
  <c r="V1022" s="1"/>
  <c r="V1023"/>
  <c r="R843"/>
  <c r="X844"/>
  <c r="W819"/>
  <c r="Q818"/>
  <c r="X687"/>
  <c r="R686"/>
  <c r="V674"/>
  <c r="W580"/>
  <c r="V525"/>
  <c r="P522"/>
  <c r="X514"/>
  <c r="R513"/>
  <c r="V503"/>
  <c r="P502"/>
  <c r="P451"/>
  <c r="V452"/>
  <c r="X890"/>
  <c r="R889"/>
  <c r="V768"/>
  <c r="P767"/>
  <c r="W749"/>
  <c r="Q748"/>
  <c r="W748" s="1"/>
  <c r="P681"/>
  <c r="V682"/>
  <c r="W644"/>
  <c r="Q643"/>
  <c r="R690"/>
  <c r="X691"/>
  <c r="V624"/>
  <c r="R567"/>
  <c r="X567" s="1"/>
  <c r="X568"/>
  <c r="V936"/>
  <c r="R674"/>
  <c r="X675"/>
  <c r="W654"/>
  <c r="Q650"/>
  <c r="S632"/>
  <c r="S631" s="1"/>
  <c r="V633"/>
  <c r="Q452"/>
  <c r="W453"/>
  <c r="P649"/>
  <c r="S489"/>
  <c r="S488" s="1"/>
  <c r="V490"/>
  <c r="P478"/>
  <c r="V479"/>
  <c r="Q1677"/>
  <c r="W1677" s="1"/>
  <c r="W1678"/>
  <c r="X1717"/>
  <c r="W1666"/>
  <c r="Q1662"/>
  <c r="X1710"/>
  <c r="U1604"/>
  <c r="X1605"/>
  <c r="P1641"/>
  <c r="V1641" s="1"/>
  <c r="V1642"/>
  <c r="W1500"/>
  <c r="Q1499"/>
  <c r="W1499" s="1"/>
  <c r="R1474"/>
  <c r="X1475"/>
  <c r="R1446"/>
  <c r="X1446" s="1"/>
  <c r="X1447"/>
  <c r="X1557"/>
  <c r="U1556"/>
  <c r="P1654"/>
  <c r="V1655"/>
  <c r="Q1566"/>
  <c r="W1567"/>
  <c r="V1499"/>
  <c r="P1495"/>
  <c r="W1415"/>
  <c r="R1466"/>
  <c r="X1467"/>
  <c r="P1369"/>
  <c r="V1370"/>
  <c r="P1464"/>
  <c r="V1464" s="1"/>
  <c r="V1465"/>
  <c r="V1392"/>
  <c r="P1388"/>
  <c r="X1374"/>
  <c r="X1335"/>
  <c r="R1334"/>
  <c r="Q1324"/>
  <c r="W1324" s="1"/>
  <c r="W1325"/>
  <c r="V1122"/>
  <c r="P1118"/>
  <c r="V1118" s="1"/>
  <c r="R1162"/>
  <c r="X1163"/>
  <c r="Q1111"/>
  <c r="W1112"/>
  <c r="X1512"/>
  <c r="R1509"/>
  <c r="Q1297"/>
  <c r="W1298"/>
  <c r="W1190"/>
  <c r="R1165"/>
  <c r="X1165" s="1"/>
  <c r="X1166"/>
  <c r="V1098"/>
  <c r="V1047"/>
  <c r="S1046"/>
  <c r="P922"/>
  <c r="V923"/>
  <c r="Q1242"/>
  <c r="W1243"/>
  <c r="Q1174"/>
  <c r="W1175"/>
  <c r="S934"/>
  <c r="V1056"/>
  <c r="P1052"/>
  <c r="V1052" s="1"/>
  <c r="P838"/>
  <c r="V839"/>
  <c r="R807"/>
  <c r="X807" s="1"/>
  <c r="X808"/>
  <c r="P1175"/>
  <c r="V1176"/>
  <c r="L648"/>
  <c r="R649"/>
  <c r="R778"/>
  <c r="X779"/>
  <c r="W588"/>
  <c r="Q583"/>
  <c r="W583" s="1"/>
  <c r="W547"/>
  <c r="Q546"/>
  <c r="W546" s="1"/>
  <c r="W909"/>
  <c r="X660"/>
  <c r="R659"/>
  <c r="R534"/>
  <c r="X535"/>
  <c r="W553"/>
  <c r="Q552"/>
  <c r="W791"/>
  <c r="X654"/>
  <c r="U650"/>
  <c r="U649" s="1"/>
  <c r="U648" s="1"/>
  <c r="P602"/>
  <c r="V603"/>
  <c r="P580"/>
  <c r="V581"/>
  <c r="V493"/>
  <c r="P489"/>
  <c r="Q1710"/>
  <c r="W1711"/>
  <c r="X1651"/>
  <c r="R1650"/>
  <c r="P1710"/>
  <c r="V1711"/>
  <c r="Q1687"/>
  <c r="W1688"/>
  <c r="R1672"/>
  <c r="X1673"/>
  <c r="Q1672"/>
  <c r="W1673"/>
  <c r="W1613"/>
  <c r="Q1612"/>
  <c r="V1601"/>
  <c r="P1600"/>
  <c r="X1694"/>
  <c r="Q1643"/>
  <c r="W1644"/>
  <c r="Q1625"/>
  <c r="W1626"/>
  <c r="P1619"/>
  <c r="P1584"/>
  <c r="V1585"/>
  <c r="R1542"/>
  <c r="X1543"/>
  <c r="R1528"/>
  <c r="X1529"/>
  <c r="R1519"/>
  <c r="X1520"/>
  <c r="Q1491"/>
  <c r="W1492"/>
  <c r="Q1481"/>
  <c r="W1482"/>
  <c r="R1443"/>
  <c r="X1444"/>
  <c r="P1431"/>
  <c r="V1432"/>
  <c r="R1677"/>
  <c r="X1677" s="1"/>
  <c r="X1678"/>
  <c r="V1542"/>
  <c r="X1426"/>
  <c r="R1422"/>
  <c r="Q1650"/>
  <c r="W1651"/>
  <c r="Q1368"/>
  <c r="W1368" s="1"/>
  <c r="W1369"/>
  <c r="P1491"/>
  <c r="V1492"/>
  <c r="Q1290"/>
  <c r="W1291"/>
  <c r="W1211"/>
  <c r="Q1210"/>
  <c r="X1492"/>
  <c r="P1284"/>
  <c r="V1284" s="1"/>
  <c r="V1285"/>
  <c r="R1210"/>
  <c r="X1211"/>
  <c r="R1522"/>
  <c r="X1522" s="1"/>
  <c r="X1523"/>
  <c r="V1472"/>
  <c r="X1236"/>
  <c r="Q1144"/>
  <c r="W1145"/>
  <c r="Q1528"/>
  <c r="W1529"/>
  <c r="Q1385"/>
  <c r="W1386"/>
  <c r="P1194"/>
  <c r="V1195"/>
  <c r="X1193"/>
  <c r="Q1166"/>
  <c r="W1167"/>
  <c r="V1106"/>
  <c r="R1099"/>
  <c r="X1100"/>
  <c r="R1220"/>
  <c r="X1221"/>
  <c r="P1188"/>
  <c r="V1189"/>
  <c r="W1046"/>
  <c r="Q1039"/>
  <c r="Q1027"/>
  <c r="W1027" s="1"/>
  <c r="W1028"/>
  <c r="V1004"/>
  <c r="P1000"/>
  <c r="V990"/>
  <c r="P983"/>
  <c r="R926"/>
  <c r="X927"/>
  <c r="P1375"/>
  <c r="V1376"/>
  <c r="P1236"/>
  <c r="V1237"/>
  <c r="P1015"/>
  <c r="V1016"/>
  <c r="X976"/>
  <c r="R972"/>
  <c r="X972" s="1"/>
  <c r="Q1398"/>
  <c r="W1399"/>
  <c r="W1389"/>
  <c r="W1189"/>
  <c r="X901"/>
  <c r="P874"/>
  <c r="V875"/>
  <c r="W742"/>
  <c r="P1168"/>
  <c r="V1169"/>
  <c r="X957"/>
  <c r="R948"/>
  <c r="P807"/>
  <c r="V807" s="1"/>
  <c r="Q712"/>
  <c r="W712" s="1"/>
  <c r="W713"/>
  <c r="Q1228"/>
  <c r="W1229"/>
  <c r="P943"/>
  <c r="V943" s="1"/>
  <c r="V944"/>
  <c r="X898"/>
  <c r="W802"/>
  <c r="Q801"/>
  <c r="W801" s="1"/>
  <c r="P798"/>
  <c r="V799"/>
  <c r="P759"/>
  <c r="V759" s="1"/>
  <c r="V760"/>
  <c r="V720"/>
  <c r="P719"/>
  <c r="V719" s="1"/>
  <c r="W640"/>
  <c r="Q639"/>
  <c r="V567"/>
  <c r="P566"/>
  <c r="V556"/>
  <c r="P555"/>
  <c r="P550" s="1"/>
  <c r="W544"/>
  <c r="Q543"/>
  <c r="W543" s="1"/>
  <c r="V448"/>
  <c r="P447"/>
  <c r="X620"/>
  <c r="R619"/>
  <c r="R452"/>
  <c r="X453"/>
  <c r="Q832"/>
  <c r="W833"/>
  <c r="Q513"/>
  <c r="W514"/>
  <c r="Q1159"/>
  <c r="W1159" s="1"/>
  <c r="W1160"/>
  <c r="Q889"/>
  <c r="W890"/>
  <c r="Q874"/>
  <c r="W875"/>
  <c r="R1173"/>
  <c r="X1173" s="1"/>
  <c r="X1174"/>
  <c r="Q838"/>
  <c r="W839"/>
  <c r="W698"/>
  <c r="M647"/>
  <c r="R520"/>
  <c r="L28" i="6" s="1"/>
  <c r="P770" i="5"/>
  <c r="V770" s="1"/>
  <c r="Q922"/>
  <c r="W923"/>
  <c r="V700"/>
  <c r="P699"/>
  <c r="O601"/>
  <c r="X772"/>
  <c r="R771"/>
  <c r="P734"/>
  <c r="V735"/>
  <c r="V713"/>
  <c r="P712"/>
  <c r="V712" s="1"/>
  <c r="P664"/>
  <c r="V664" s="1"/>
  <c r="V665"/>
  <c r="X637"/>
  <c r="R636"/>
  <c r="X636" s="1"/>
  <c r="X633"/>
  <c r="S466"/>
  <c r="V467"/>
  <c r="W442"/>
  <c r="Q441"/>
  <c r="P1159"/>
  <c r="V1159" s="1"/>
  <c r="V1160"/>
  <c r="Q967"/>
  <c r="W968"/>
  <c r="Q896"/>
  <c r="Q843"/>
  <c r="W844"/>
  <c r="V825"/>
  <c r="P824"/>
  <c r="S785"/>
  <c r="V785" s="1"/>
  <c r="V786"/>
  <c r="J647"/>
  <c r="S497"/>
  <c r="V498"/>
  <c r="S797"/>
  <c r="Q602"/>
  <c r="V551"/>
  <c r="Q1653"/>
  <c r="W1653" s="1"/>
  <c r="W1654"/>
  <c r="Q1536"/>
  <c r="W1537"/>
  <c r="X1567"/>
  <c r="R1566"/>
  <c r="P1485"/>
  <c r="V1486"/>
  <c r="R1358"/>
  <c r="X1359"/>
  <c r="Q1333"/>
  <c r="W1334"/>
  <c r="Q1345"/>
  <c r="W1346"/>
  <c r="P1379"/>
  <c r="V1379" s="1"/>
  <c r="V1380"/>
  <c r="X1254"/>
  <c r="R1253"/>
  <c r="X1253" s="1"/>
  <c r="R1137"/>
  <c r="X1138"/>
  <c r="W1276"/>
  <c r="Q1271"/>
  <c r="Q1193"/>
  <c r="W1193" s="1"/>
  <c r="W1194"/>
  <c r="V1328"/>
  <c r="P1324"/>
  <c r="X1106"/>
  <c r="W1496"/>
  <c r="Q1374"/>
  <c r="W1375"/>
  <c r="P1206"/>
  <c r="V1207"/>
  <c r="X1019"/>
  <c r="R1015"/>
  <c r="R993"/>
  <c r="X993" s="1"/>
  <c r="X994"/>
  <c r="R817"/>
  <c r="X818"/>
  <c r="P654"/>
  <c r="V654" s="1"/>
  <c r="V655"/>
  <c r="Q879"/>
  <c r="W880"/>
  <c r="Q786"/>
  <c r="W787"/>
  <c r="Q1151"/>
  <c r="W1152"/>
  <c r="W798"/>
  <c r="W503"/>
  <c r="Q502"/>
  <c r="W619"/>
  <c r="Q618"/>
  <c r="W618" s="1"/>
  <c r="Q826"/>
  <c r="W827"/>
  <c r="X580"/>
  <c r="Q1693"/>
  <c r="W1694"/>
  <c r="X1660"/>
  <c r="R1659"/>
  <c r="V1703"/>
  <c r="R1642"/>
  <c r="X1643"/>
  <c r="Q1715"/>
  <c r="W1716"/>
  <c r="P1634"/>
  <c r="V1635"/>
  <c r="Q1619"/>
  <c r="W1620"/>
  <c r="R1692"/>
  <c r="X1693"/>
  <c r="P1673"/>
  <c r="V1674"/>
  <c r="X1601"/>
  <c r="R1600"/>
  <c r="R1593"/>
  <c r="X1594"/>
  <c r="P1509"/>
  <c r="V1510"/>
  <c r="Q1605"/>
  <c r="W1606"/>
  <c r="R1576"/>
  <c r="X1577"/>
  <c r="V1552"/>
  <c r="P1517"/>
  <c r="V1518"/>
  <c r="Q1509"/>
  <c r="W1510"/>
  <c r="R1536"/>
  <c r="X1537"/>
  <c r="Q1457"/>
  <c r="W1458"/>
  <c r="V1447"/>
  <c r="V1604"/>
  <c r="P1603"/>
  <c r="V1603" s="1"/>
  <c r="Q1576"/>
  <c r="W1577"/>
  <c r="Q1406"/>
  <c r="W1406" s="1"/>
  <c r="W1407"/>
  <c r="Q1430"/>
  <c r="W1431"/>
  <c r="X1384"/>
  <c r="R1290"/>
  <c r="X1291"/>
  <c r="X1153"/>
  <c r="R1152"/>
  <c r="Q1450"/>
  <c r="W1451"/>
  <c r="Q1364"/>
  <c r="W1365"/>
  <c r="Q1220"/>
  <c r="W1221"/>
  <c r="X1201"/>
  <c r="R1200"/>
  <c r="W1552"/>
  <c r="V1314"/>
  <c r="P1299"/>
  <c r="V1300"/>
  <c r="Q1259"/>
  <c r="W1260"/>
  <c r="R1234"/>
  <c r="X1235"/>
  <c r="X1195"/>
  <c r="Q1118"/>
  <c r="W1119"/>
  <c r="P1111"/>
  <c r="V1112"/>
  <c r="Q1088"/>
  <c r="W1089"/>
  <c r="P1279"/>
  <c r="V1280"/>
  <c r="P1254"/>
  <c r="V1255"/>
  <c r="P1249"/>
  <c r="V1250"/>
  <c r="Q1200"/>
  <c r="W1201"/>
  <c r="X1073"/>
  <c r="R1066"/>
  <c r="W1004"/>
  <c r="W1426"/>
  <c r="Q1422"/>
  <c r="Q1060"/>
  <c r="W1061"/>
  <c r="W987"/>
  <c r="Q983"/>
  <c r="Q1253"/>
  <c r="W1253" s="1"/>
  <c r="W1254"/>
  <c r="W1188"/>
  <c r="P818"/>
  <c r="V819"/>
  <c r="P801"/>
  <c r="V801" s="1"/>
  <c r="V802"/>
  <c r="V756"/>
  <c r="W719"/>
  <c r="W700"/>
  <c r="P1243"/>
  <c r="V1244"/>
  <c r="R1087"/>
  <c r="X1088"/>
  <c r="P1078"/>
  <c r="V1079"/>
  <c r="Q1065"/>
  <c r="W1066"/>
  <c r="Q706"/>
  <c r="W706" s="1"/>
  <c r="W707"/>
  <c r="W699"/>
  <c r="P1335"/>
  <c r="W1099"/>
  <c r="Q1098"/>
  <c r="U525"/>
  <c r="X526"/>
  <c r="P883"/>
  <c r="V883" s="1"/>
  <c r="V884"/>
  <c r="V843"/>
  <c r="P842"/>
  <c r="V842" s="1"/>
  <c r="W795"/>
  <c r="Q794"/>
  <c r="W794" s="1"/>
  <c r="W678"/>
  <c r="Q677"/>
  <c r="R627"/>
  <c r="X627" s="1"/>
  <c r="X628"/>
  <c r="V595"/>
  <c r="P594"/>
  <c r="V594" s="1"/>
  <c r="X604"/>
  <c r="R603"/>
  <c r="X584"/>
  <c r="R583"/>
  <c r="X583" s="1"/>
  <c r="P868"/>
  <c r="V868" s="1"/>
  <c r="V869"/>
  <c r="W535"/>
  <c r="Q534"/>
  <c r="X726"/>
  <c r="R725"/>
  <c r="P897"/>
  <c r="V898"/>
  <c r="W853"/>
  <c r="X827"/>
  <c r="R826"/>
  <c r="O784"/>
  <c r="W768"/>
  <c r="Q767"/>
  <c r="V748"/>
  <c r="S741"/>
  <c r="S740" s="1"/>
  <c r="T650"/>
  <c r="T649" s="1"/>
  <c r="T648" s="1"/>
  <c r="W651"/>
  <c r="Q519"/>
  <c r="X442"/>
  <c r="R441"/>
  <c r="J784"/>
  <c r="R756"/>
  <c r="X757"/>
  <c r="W575"/>
  <c r="Q574"/>
  <c r="V794"/>
  <c r="S790"/>
  <c r="S789" s="1"/>
  <c r="V743"/>
  <c r="P742"/>
  <c r="R733"/>
  <c r="X734"/>
  <c r="X683"/>
  <c r="R682"/>
  <c r="V652"/>
  <c r="P651"/>
  <c r="V636"/>
  <c r="P632"/>
  <c r="R1350"/>
  <c r="X1351"/>
  <c r="W969"/>
  <c r="W594"/>
  <c r="X566"/>
  <c r="P461"/>
  <c r="V461" s="1"/>
  <c r="X897"/>
  <c r="X484"/>
  <c r="X478"/>
  <c r="R477"/>
  <c r="T523" l="1"/>
  <c r="P777"/>
  <c r="W1249"/>
  <c r="X1228"/>
  <c r="X1481"/>
  <c r="X1388"/>
  <c r="R1406"/>
  <c r="X1406" s="1"/>
  <c r="Q693"/>
  <c r="W693" s="1"/>
  <c r="N647"/>
  <c r="R1662"/>
  <c r="X1662" s="1"/>
  <c r="T601"/>
  <c r="N39" i="6" s="1"/>
  <c r="K564" i="5"/>
  <c r="V555"/>
  <c r="X895"/>
  <c r="X1118"/>
  <c r="S528"/>
  <c r="S669"/>
  <c r="T715"/>
  <c r="T697" s="1"/>
  <c r="N45" i="6" s="1"/>
  <c r="L775" i="5"/>
  <c r="U775"/>
  <c r="M775"/>
  <c r="M437" s="1"/>
  <c r="Q489"/>
  <c r="Q488" s="1"/>
  <c r="W488" s="1"/>
  <c r="U1669"/>
  <c r="Q515"/>
  <c r="W515" s="1"/>
  <c r="W516"/>
  <c r="R1105"/>
  <c r="X1105" s="1"/>
  <c r="P1566"/>
  <c r="Q1495"/>
  <c r="W1495" s="1"/>
  <c r="S831"/>
  <c r="W494"/>
  <c r="S579"/>
  <c r="S578" s="1"/>
  <c r="M38" i="6" s="1"/>
  <c r="V1528" i="5"/>
  <c r="P1527"/>
  <c r="P1038"/>
  <c r="O564"/>
  <c r="I39" i="6"/>
  <c r="K775" i="5"/>
  <c r="E68" i="6"/>
  <c r="J775" i="5"/>
  <c r="D68" i="6"/>
  <c r="O647" i="5"/>
  <c r="I45" i="6"/>
  <c r="L564" i="5"/>
  <c r="F37" i="6"/>
  <c r="N564" i="5"/>
  <c r="N437" s="1"/>
  <c r="H39" i="6"/>
  <c r="O775" i="5"/>
  <c r="I68" i="6"/>
  <c r="V1592" i="5"/>
  <c r="W477"/>
  <c r="Q21" i="6" s="1"/>
  <c r="K21"/>
  <c r="X477" i="5"/>
  <c r="R21" i="6" s="1"/>
  <c r="L21"/>
  <c r="W905" i="5"/>
  <c r="Q1388"/>
  <c r="W1388" s="1"/>
  <c r="V1309"/>
  <c r="V1495"/>
  <c r="Q685"/>
  <c r="W685" s="1"/>
  <c r="X733"/>
  <c r="R46" i="6" s="1"/>
  <c r="L46"/>
  <c r="S739" i="5"/>
  <c r="M50" i="6"/>
  <c r="V550" i="5"/>
  <c r="P34" i="6" s="1"/>
  <c r="J34"/>
  <c r="W778" i="5"/>
  <c r="V1343"/>
  <c r="T528"/>
  <c r="N33" i="6"/>
  <c r="T438" i="5"/>
  <c r="N20" i="6"/>
  <c r="U528" i="5"/>
  <c r="O34" i="6"/>
  <c r="W489" i="5"/>
  <c r="W478"/>
  <c r="W447"/>
  <c r="S697"/>
  <c r="M45" i="6" s="1"/>
  <c r="K438" i="5"/>
  <c r="U564"/>
  <c r="R702"/>
  <c r="X702" s="1"/>
  <c r="K647"/>
  <c r="X489"/>
  <c r="U647"/>
  <c r="Q648"/>
  <c r="L438"/>
  <c r="U438"/>
  <c r="J437"/>
  <c r="Q689"/>
  <c r="W689" s="1"/>
  <c r="X741"/>
  <c r="V1152"/>
  <c r="W1118"/>
  <c r="X905"/>
  <c r="R797"/>
  <c r="X797" s="1"/>
  <c r="V1271"/>
  <c r="T898"/>
  <c r="T897" s="1"/>
  <c r="P1260"/>
  <c r="V1260" s="1"/>
  <c r="W498"/>
  <c r="Q497"/>
  <c r="P1551"/>
  <c r="P1550" s="1"/>
  <c r="V1550" s="1"/>
  <c r="W948"/>
  <c r="T934"/>
  <c r="W947"/>
  <c r="W1078"/>
  <c r="W1079"/>
  <c r="S618"/>
  <c r="S601" s="1"/>
  <c r="R1552"/>
  <c r="X1553"/>
  <c r="R1280"/>
  <c r="X1281"/>
  <c r="R1490"/>
  <c r="R1489" s="1"/>
  <c r="X1489" s="1"/>
  <c r="X1305"/>
  <c r="R1304"/>
  <c r="R594"/>
  <c r="X594" s="1"/>
  <c r="X595"/>
  <c r="U830"/>
  <c r="X1588"/>
  <c r="R1584"/>
  <c r="W1350"/>
  <c r="Q1349"/>
  <c r="X1285"/>
  <c r="R1284"/>
  <c r="R1324"/>
  <c r="X1324" s="1"/>
  <c r="X1328"/>
  <c r="Q1551"/>
  <c r="Q1550" s="1"/>
  <c r="W1550" s="1"/>
  <c r="W649"/>
  <c r="P1350"/>
  <c r="V1351"/>
  <c r="P1625"/>
  <c r="V1626"/>
  <c r="W1305"/>
  <c r="Q1304"/>
  <c r="W526"/>
  <c r="T525"/>
  <c r="W525" s="1"/>
  <c r="V627"/>
  <c r="P618"/>
  <c r="P1692"/>
  <c r="V1692" s="1"/>
  <c r="V1693"/>
  <c r="X885"/>
  <c r="R1247"/>
  <c r="X1247" s="1"/>
  <c r="R1603"/>
  <c r="R1398"/>
  <c r="X1399"/>
  <c r="W1519"/>
  <c r="Q1518"/>
  <c r="X969"/>
  <c r="R968"/>
  <c r="W1309"/>
  <c r="Q1308"/>
  <c r="W1308" s="1"/>
  <c r="X1431"/>
  <c r="R1430"/>
  <c r="X1430" s="1"/>
  <c r="W485"/>
  <c r="Q484"/>
  <c r="W484" s="1"/>
  <c r="W1281"/>
  <c r="Q1280"/>
  <c r="Q1592"/>
  <c r="W1593"/>
  <c r="R1320"/>
  <c r="X1321"/>
  <c r="W1638"/>
  <c r="Q1634"/>
  <c r="Q797"/>
  <c r="W797" s="1"/>
  <c r="S784"/>
  <c r="R1344"/>
  <c r="X1345"/>
  <c r="W1316"/>
  <c r="Q1315"/>
  <c r="R555"/>
  <c r="X556"/>
  <c r="P1358"/>
  <c r="V1359"/>
  <c r="P1479"/>
  <c r="V1479" s="1"/>
  <c r="V1480"/>
  <c r="Q755"/>
  <c r="W756"/>
  <c r="S1535"/>
  <c r="V1536"/>
  <c r="P484"/>
  <c r="V484" s="1"/>
  <c r="V485"/>
  <c r="R440"/>
  <c r="X441"/>
  <c r="W446"/>
  <c r="Q1064"/>
  <c r="W1064" s="1"/>
  <c r="W1065"/>
  <c r="R1136"/>
  <c r="X1136" s="1"/>
  <c r="X1137"/>
  <c r="V1634"/>
  <c r="P1633"/>
  <c r="W513"/>
  <c r="Q512"/>
  <c r="W512" s="1"/>
  <c r="X926"/>
  <c r="R921"/>
  <c r="X921" s="1"/>
  <c r="Q1649"/>
  <c r="W1650"/>
  <c r="P1430"/>
  <c r="V1431"/>
  <c r="Q1480"/>
  <c r="W1481"/>
  <c r="R1518"/>
  <c r="X1519"/>
  <c r="V1584"/>
  <c r="P1583"/>
  <c r="R1671"/>
  <c r="X1672"/>
  <c r="V1710"/>
  <c r="P1701"/>
  <c r="W1710"/>
  <c r="Q1701"/>
  <c r="W1701" s="1"/>
  <c r="V580"/>
  <c r="P579"/>
  <c r="R648"/>
  <c r="L647"/>
  <c r="P1174"/>
  <c r="V1175"/>
  <c r="V838"/>
  <c r="P837"/>
  <c r="V837" s="1"/>
  <c r="R1161"/>
  <c r="X1162"/>
  <c r="R1465"/>
  <c r="X1466"/>
  <c r="X1556"/>
  <c r="U1551"/>
  <c r="V670"/>
  <c r="W818"/>
  <c r="Q817"/>
  <c r="V614"/>
  <c r="P613"/>
  <c r="V613" s="1"/>
  <c r="X574"/>
  <c r="R573"/>
  <c r="X615"/>
  <c r="R614"/>
  <c r="V832"/>
  <c r="T776"/>
  <c r="N67" i="6" s="1"/>
  <c r="W777" i="5"/>
  <c r="P1065"/>
  <c r="V1066"/>
  <c r="V777"/>
  <c r="P776"/>
  <c r="J67" i="6" s="1"/>
  <c r="S1060" i="5"/>
  <c r="V1061"/>
  <c r="X1079"/>
  <c r="R1078"/>
  <c r="X1309"/>
  <c r="R1308"/>
  <c r="Q1320"/>
  <c r="W1321"/>
  <c r="V1220"/>
  <c r="P1219"/>
  <c r="R1260"/>
  <c r="X1264"/>
  <c r="R1314"/>
  <c r="X1315"/>
  <c r="P1414"/>
  <c r="V1415"/>
  <c r="V1666"/>
  <c r="P1662"/>
  <c r="P1180"/>
  <c r="V1181"/>
  <c r="X1720"/>
  <c r="R1716"/>
  <c r="R664"/>
  <c r="X664" s="1"/>
  <c r="X665"/>
  <c r="R765"/>
  <c r="X766"/>
  <c r="P1141"/>
  <c r="V1141" s="1"/>
  <c r="V1142"/>
  <c r="Q1484"/>
  <c r="W1484" s="1"/>
  <c r="W1485"/>
  <c r="X1350"/>
  <c r="R1349"/>
  <c r="W767"/>
  <c r="Q766"/>
  <c r="R1086"/>
  <c r="X1086" s="1"/>
  <c r="X1087"/>
  <c r="Q1059"/>
  <c r="W1059" s="1"/>
  <c r="W1060"/>
  <c r="P1248"/>
  <c r="V1249"/>
  <c r="V1566"/>
  <c r="P1565"/>
  <c r="R1599"/>
  <c r="X1600"/>
  <c r="W786"/>
  <c r="Q785"/>
  <c r="X884"/>
  <c r="R883"/>
  <c r="X883" s="1"/>
  <c r="V824"/>
  <c r="P823"/>
  <c r="J81" i="6" s="1"/>
  <c r="W639" i="5"/>
  <c r="Q632"/>
  <c r="Q1227"/>
  <c r="W1227" s="1"/>
  <c r="W1228"/>
  <c r="R947"/>
  <c r="X947" s="1"/>
  <c r="X948"/>
  <c r="V1619"/>
  <c r="P1618"/>
  <c r="W1612"/>
  <c r="Q1608"/>
  <c r="W1608" s="1"/>
  <c r="Q551"/>
  <c r="W552"/>
  <c r="Q1241"/>
  <c r="W1241" s="1"/>
  <c r="W1242"/>
  <c r="R1508"/>
  <c r="X1509"/>
  <c r="V1388"/>
  <c r="P1383"/>
  <c r="V1383" s="1"/>
  <c r="V1654"/>
  <c r="P1653"/>
  <c r="V649"/>
  <c r="P648"/>
  <c r="W643"/>
  <c r="Q642"/>
  <c r="W642" s="1"/>
  <c r="R888"/>
  <c r="X888" s="1"/>
  <c r="X889"/>
  <c r="P521"/>
  <c r="V522"/>
  <c r="P1088"/>
  <c r="V1089"/>
  <c r="V1407"/>
  <c r="P1406"/>
  <c r="V1406" s="1"/>
  <c r="V1450"/>
  <c r="P1446"/>
  <c r="P1715"/>
  <c r="V1716"/>
  <c r="Q1473"/>
  <c r="W1474"/>
  <c r="X603"/>
  <c r="R602"/>
  <c r="W677"/>
  <c r="Q670"/>
  <c r="Q715"/>
  <c r="P1110"/>
  <c r="V1111"/>
  <c r="V1509"/>
  <c r="P1508"/>
  <c r="X1692"/>
  <c r="X1642"/>
  <c r="R1641"/>
  <c r="X1641" s="1"/>
  <c r="X740"/>
  <c r="R50" i="6" s="1"/>
  <c r="R739" i="5"/>
  <c r="X739" s="1"/>
  <c r="V1324"/>
  <c r="P1319"/>
  <c r="Q741"/>
  <c r="P1374"/>
  <c r="V1375"/>
  <c r="V1188"/>
  <c r="R1098"/>
  <c r="X1099"/>
  <c r="W1528"/>
  <c r="Q1527"/>
  <c r="X1210"/>
  <c r="R1206"/>
  <c r="X1206" s="1"/>
  <c r="Q1289"/>
  <c r="W1290"/>
  <c r="X756"/>
  <c r="R755"/>
  <c r="X525"/>
  <c r="U522"/>
  <c r="P1077"/>
  <c r="V1078"/>
  <c r="P1242"/>
  <c r="V1243"/>
  <c r="R1065"/>
  <c r="X1066"/>
  <c r="Q1199"/>
  <c r="W1200"/>
  <c r="V1151"/>
  <c r="P1150"/>
  <c r="P1278"/>
  <c r="V1278" s="1"/>
  <c r="V1279"/>
  <c r="R1233"/>
  <c r="X1233" s="1"/>
  <c r="X1234"/>
  <c r="P1298"/>
  <c r="V1299"/>
  <c r="Q1219"/>
  <c r="W1220"/>
  <c r="Q1446"/>
  <c r="W1450"/>
  <c r="R1289"/>
  <c r="X1290"/>
  <c r="R1479"/>
  <c r="X1480"/>
  <c r="Q1575"/>
  <c r="W1576"/>
  <c r="Q1692"/>
  <c r="W1693"/>
  <c r="W826"/>
  <c r="Q825"/>
  <c r="Q1150"/>
  <c r="W1151"/>
  <c r="Q878"/>
  <c r="W878" s="1"/>
  <c r="W879"/>
  <c r="R816"/>
  <c r="X817"/>
  <c r="V1206"/>
  <c r="P1198"/>
  <c r="V1198" s="1"/>
  <c r="W1333"/>
  <c r="P1484"/>
  <c r="V1485"/>
  <c r="Q1535"/>
  <c r="W1536"/>
  <c r="W602"/>
  <c r="Q601"/>
  <c r="S496"/>
  <c r="V496" s="1"/>
  <c r="V497"/>
  <c r="W441"/>
  <c r="Q440"/>
  <c r="R632"/>
  <c r="Q921"/>
  <c r="W921" s="1"/>
  <c r="W922"/>
  <c r="R519"/>
  <c r="R618"/>
  <c r="X618" s="1"/>
  <c r="X619"/>
  <c r="V566"/>
  <c r="P565"/>
  <c r="J37" i="6" s="1"/>
  <c r="P982" i="5"/>
  <c r="V982" s="1"/>
  <c r="V983"/>
  <c r="Q1038"/>
  <c r="W1038" s="1"/>
  <c r="W1039"/>
  <c r="W1166"/>
  <c r="Q1165"/>
  <c r="W1165" s="1"/>
  <c r="W1210"/>
  <c r="Q1206"/>
  <c r="W1206" s="1"/>
  <c r="X1422"/>
  <c r="R1421"/>
  <c r="W1625"/>
  <c r="Q1624"/>
  <c r="W1624" s="1"/>
  <c r="P1599"/>
  <c r="V1600"/>
  <c r="R1649"/>
  <c r="X1650"/>
  <c r="V489"/>
  <c r="P488"/>
  <c r="Q790"/>
  <c r="Q1173"/>
  <c r="W1173" s="1"/>
  <c r="W1174"/>
  <c r="V922"/>
  <c r="P921"/>
  <c r="V921" s="1"/>
  <c r="Q1565"/>
  <c r="W1566"/>
  <c r="R1473"/>
  <c r="X1474"/>
  <c r="W1662"/>
  <c r="Q1657"/>
  <c r="W1657" s="1"/>
  <c r="X674"/>
  <c r="R670"/>
  <c r="P935"/>
  <c r="V767"/>
  <c r="P766"/>
  <c r="X513"/>
  <c r="R512"/>
  <c r="X512" s="1"/>
  <c r="Q579"/>
  <c r="X878"/>
  <c r="R998"/>
  <c r="X999"/>
  <c r="P530"/>
  <c r="Q733"/>
  <c r="W734"/>
  <c r="X716"/>
  <c r="Q999"/>
  <c r="W1000"/>
  <c r="R982"/>
  <c r="X982" s="1"/>
  <c r="X983"/>
  <c r="X1143"/>
  <c r="R1142"/>
  <c r="Q1234"/>
  <c r="W1235"/>
  <c r="Q1412"/>
  <c r="W1412" s="1"/>
  <c r="W1413"/>
  <c r="Q1541"/>
  <c r="W1542"/>
  <c r="W1466"/>
  <c r="Q1465"/>
  <c r="R1686"/>
  <c r="X1687"/>
  <c r="X936"/>
  <c r="R935"/>
  <c r="W936"/>
  <c r="Q935"/>
  <c r="R1435"/>
  <c r="X1436"/>
  <c r="R1362"/>
  <c r="X1362" s="1"/>
  <c r="X1363"/>
  <c r="Q1583"/>
  <c r="W1584"/>
  <c r="X1702"/>
  <c r="R1701"/>
  <c r="X1701" s="1"/>
  <c r="W523"/>
  <c r="W983"/>
  <c r="Q982"/>
  <c r="W982" s="1"/>
  <c r="V1254"/>
  <c r="P1253"/>
  <c r="V1253" s="1"/>
  <c r="W1259"/>
  <c r="Q1258"/>
  <c r="W1258" s="1"/>
  <c r="Q1363"/>
  <c r="W1364"/>
  <c r="Q1429"/>
  <c r="W1429" s="1"/>
  <c r="W1430"/>
  <c r="X904"/>
  <c r="W1374"/>
  <c r="Q1344"/>
  <c r="W1345"/>
  <c r="R1357"/>
  <c r="X1358"/>
  <c r="X771"/>
  <c r="R770"/>
  <c r="X770" s="1"/>
  <c r="V447"/>
  <c r="P446"/>
  <c r="W904"/>
  <c r="V1000"/>
  <c r="P999"/>
  <c r="W1643"/>
  <c r="Q1642"/>
  <c r="X659"/>
  <c r="R650"/>
  <c r="X650" s="1"/>
  <c r="X649"/>
  <c r="R1333"/>
  <c r="X1334"/>
  <c r="U1603"/>
  <c r="U1597" s="1"/>
  <c r="U1563" s="1"/>
  <c r="X1604"/>
  <c r="Q1076"/>
  <c r="W1076" s="1"/>
  <c r="W1077"/>
  <c r="V502"/>
  <c r="P501"/>
  <c r="V501" s="1"/>
  <c r="R842"/>
  <c r="X843"/>
  <c r="X1039"/>
  <c r="R1038"/>
  <c r="X1038" s="1"/>
  <c r="P904"/>
  <c r="V905"/>
  <c r="P947"/>
  <c r="V947" s="1"/>
  <c r="V948"/>
  <c r="Q1247"/>
  <c r="W1247" s="1"/>
  <c r="W1248"/>
  <c r="P1420"/>
  <c r="V1420" s="1"/>
  <c r="V1421"/>
  <c r="R1618"/>
  <c r="X1619"/>
  <c r="V1290"/>
  <c r="P1289"/>
  <c r="R1454"/>
  <c r="X1455"/>
  <c r="V1546"/>
  <c r="P1541"/>
  <c r="P967"/>
  <c r="V968"/>
  <c r="R1412"/>
  <c r="X1412" s="1"/>
  <c r="X1413"/>
  <c r="V632"/>
  <c r="P631"/>
  <c r="X682"/>
  <c r="R681"/>
  <c r="V742"/>
  <c r="P741"/>
  <c r="X725"/>
  <c r="R722"/>
  <c r="X722" s="1"/>
  <c r="P1334"/>
  <c r="V1335"/>
  <c r="R1535"/>
  <c r="X1536"/>
  <c r="P1516"/>
  <c r="V1516" s="1"/>
  <c r="V1517"/>
  <c r="R1575"/>
  <c r="X1576"/>
  <c r="W1271"/>
  <c r="Q1270"/>
  <c r="Q895"/>
  <c r="S450"/>
  <c r="S445" s="1"/>
  <c r="M20" i="6" s="1"/>
  <c r="V466" i="5"/>
  <c r="Q888"/>
  <c r="W888" s="1"/>
  <c r="W889"/>
  <c r="R451"/>
  <c r="X452"/>
  <c r="P1235"/>
  <c r="V1236"/>
  <c r="V1194"/>
  <c r="P1193"/>
  <c r="V1193" s="1"/>
  <c r="P1490"/>
  <c r="V1491"/>
  <c r="P650"/>
  <c r="V650" s="1"/>
  <c r="V651"/>
  <c r="W574"/>
  <c r="Q573"/>
  <c r="X826"/>
  <c r="R825"/>
  <c r="V897"/>
  <c r="P896"/>
  <c r="W534"/>
  <c r="Q530"/>
  <c r="W1098"/>
  <c r="P755"/>
  <c r="V818"/>
  <c r="P817"/>
  <c r="Q1421"/>
  <c r="W1422"/>
  <c r="Q1087"/>
  <c r="W1088"/>
  <c r="R1199"/>
  <c r="X1200"/>
  <c r="X1152"/>
  <c r="R1151"/>
  <c r="Q1456"/>
  <c r="W1457"/>
  <c r="Q1508"/>
  <c r="W1509"/>
  <c r="W1605"/>
  <c r="Q1604"/>
  <c r="R1592"/>
  <c r="X1593"/>
  <c r="P1672"/>
  <c r="V1673"/>
  <c r="Q1618"/>
  <c r="W1619"/>
  <c r="Q1714"/>
  <c r="W1714" s="1"/>
  <c r="W1715"/>
  <c r="X1659"/>
  <c r="R1658"/>
  <c r="W502"/>
  <c r="R1014"/>
  <c r="X1014" s="1"/>
  <c r="X1015"/>
  <c r="R1565"/>
  <c r="X1566"/>
  <c r="W843"/>
  <c r="Q842"/>
  <c r="W842" s="1"/>
  <c r="Q966"/>
  <c r="W966" s="1"/>
  <c r="W967"/>
  <c r="P733"/>
  <c r="V734"/>
  <c r="V699"/>
  <c r="P698"/>
  <c r="W838"/>
  <c r="W874"/>
  <c r="W832"/>
  <c r="P797"/>
  <c r="V797" s="1"/>
  <c r="V798"/>
  <c r="P1167"/>
  <c r="V1168"/>
  <c r="V874"/>
  <c r="P873"/>
  <c r="V873" s="1"/>
  <c r="Q1397"/>
  <c r="W1398"/>
  <c r="P1014"/>
  <c r="V1014" s="1"/>
  <c r="V1015"/>
  <c r="Q1014"/>
  <c r="W1014" s="1"/>
  <c r="R1219"/>
  <c r="X1220"/>
  <c r="Q1384"/>
  <c r="W1385"/>
  <c r="W1144"/>
  <c r="Q1143"/>
  <c r="R1442"/>
  <c r="X1443"/>
  <c r="Q1490"/>
  <c r="W1491"/>
  <c r="R1527"/>
  <c r="X1528"/>
  <c r="R1541"/>
  <c r="X1542"/>
  <c r="Q1671"/>
  <c r="W1672"/>
  <c r="Q1686"/>
  <c r="W1687"/>
  <c r="V602"/>
  <c r="X534"/>
  <c r="R530"/>
  <c r="X778"/>
  <c r="R777"/>
  <c r="V1046"/>
  <c r="S1039"/>
  <c r="Q1296"/>
  <c r="W1296" s="1"/>
  <c r="W1297"/>
  <c r="Q1110"/>
  <c r="W1111"/>
  <c r="P1269"/>
  <c r="V1270"/>
  <c r="R1373"/>
  <c r="X1373" s="1"/>
  <c r="P1368"/>
  <c r="V1369"/>
  <c r="V478"/>
  <c r="P477"/>
  <c r="Q451"/>
  <c r="W452"/>
  <c r="W650"/>
  <c r="X690"/>
  <c r="R689"/>
  <c r="X689" s="1"/>
  <c r="V681"/>
  <c r="P680"/>
  <c r="V680" s="1"/>
  <c r="P450"/>
  <c r="V451"/>
  <c r="R685"/>
  <c r="X685" s="1"/>
  <c r="X686"/>
  <c r="X509"/>
  <c r="X643"/>
  <c r="R642"/>
  <c r="X642" s="1"/>
  <c r="X785"/>
  <c r="P702"/>
  <c r="V702" s="1"/>
  <c r="V703"/>
  <c r="X790"/>
  <c r="R789"/>
  <c r="X789" s="1"/>
  <c r="W885"/>
  <c r="Q884"/>
  <c r="W703"/>
  <c r="Q702"/>
  <c r="P1398"/>
  <c r="V1399"/>
  <c r="P1302"/>
  <c r="V1302" s="1"/>
  <c r="V1303"/>
  <c r="R1270"/>
  <c r="X1271"/>
  <c r="P1456"/>
  <c r="V1457"/>
  <c r="V441"/>
  <c r="P440"/>
  <c r="P715"/>
  <c r="V715" s="1"/>
  <c r="V791"/>
  <c r="P790"/>
  <c r="P1228"/>
  <c r="V1229"/>
  <c r="R1625"/>
  <c r="X1626"/>
  <c r="O437" l="1"/>
  <c r="T564"/>
  <c r="T647"/>
  <c r="W715"/>
  <c r="W898"/>
  <c r="V1551"/>
  <c r="P1526"/>
  <c r="V1526" s="1"/>
  <c r="V1527"/>
  <c r="P601"/>
  <c r="V601" s="1"/>
  <c r="P39" i="6" s="1"/>
  <c r="R903" i="5"/>
  <c r="X903" s="1"/>
  <c r="W648"/>
  <c r="S647"/>
  <c r="J39" i="6"/>
  <c r="V733" i="5"/>
  <c r="P46" i="6" s="1"/>
  <c r="J46"/>
  <c r="V631" i="5"/>
  <c r="W601"/>
  <c r="Q39" i="6" s="1"/>
  <c r="K39"/>
  <c r="S564" i="5"/>
  <c r="M39" i="6"/>
  <c r="V477" i="5"/>
  <c r="P21" i="6" s="1"/>
  <c r="J21"/>
  <c r="W733" i="5"/>
  <c r="Q46" i="6" s="1"/>
  <c r="K46"/>
  <c r="X816" i="5"/>
  <c r="S775"/>
  <c r="M68" i="6"/>
  <c r="V450" i="5"/>
  <c r="K437"/>
  <c r="S483"/>
  <c r="L437"/>
  <c r="P1259"/>
  <c r="V1259" s="1"/>
  <c r="R873"/>
  <c r="X873" s="1"/>
  <c r="W1551"/>
  <c r="W497"/>
  <c r="Q496"/>
  <c r="W496" s="1"/>
  <c r="X1490"/>
  <c r="Q903"/>
  <c r="W903" s="1"/>
  <c r="X1280"/>
  <c r="R1279"/>
  <c r="X1279" s="1"/>
  <c r="X1552"/>
  <c r="R1551"/>
  <c r="R1550" s="1"/>
  <c r="V618"/>
  <c r="T522"/>
  <c r="W522" s="1"/>
  <c r="X1304"/>
  <c r="R1303"/>
  <c r="X1303" s="1"/>
  <c r="R1583"/>
  <c r="X1584"/>
  <c r="R501"/>
  <c r="X501" s="1"/>
  <c r="R579"/>
  <c r="X1603"/>
  <c r="Q754"/>
  <c r="W755"/>
  <c r="P1357"/>
  <c r="V1358"/>
  <c r="W1592"/>
  <c r="Q1591"/>
  <c r="W1591" s="1"/>
  <c r="Q1279"/>
  <c r="W1280"/>
  <c r="X968"/>
  <c r="R967"/>
  <c r="V1625"/>
  <c r="P1624"/>
  <c r="V1624" s="1"/>
  <c r="Q1314"/>
  <c r="W1314" s="1"/>
  <c r="W1315"/>
  <c r="Q1633"/>
  <c r="W1634"/>
  <c r="R1397"/>
  <c r="X1398"/>
  <c r="P1349"/>
  <c r="V1350"/>
  <c r="R784"/>
  <c r="Q1517"/>
  <c r="W1518"/>
  <c r="X1284"/>
  <c r="R1278"/>
  <c r="X1278" s="1"/>
  <c r="Q501"/>
  <c r="W501" s="1"/>
  <c r="S1534"/>
  <c r="V1535"/>
  <c r="R550"/>
  <c r="X555"/>
  <c r="X1344"/>
  <c r="R1343"/>
  <c r="X1320"/>
  <c r="R1319"/>
  <c r="X1319" s="1"/>
  <c r="Q1303"/>
  <c r="W1304"/>
  <c r="W1349"/>
  <c r="Q1348"/>
  <c r="W1348" s="1"/>
  <c r="V488"/>
  <c r="P483"/>
  <c r="R1420"/>
  <c r="X1420" s="1"/>
  <c r="X1421"/>
  <c r="Q439"/>
  <c r="K18" i="6" s="1"/>
  <c r="W440" i="5"/>
  <c r="V1150"/>
  <c r="P1149"/>
  <c r="Q1526"/>
  <c r="W1526" s="1"/>
  <c r="W1527"/>
  <c r="W741"/>
  <c r="Q740"/>
  <c r="K50" i="6" s="1"/>
  <c r="R1691" i="5"/>
  <c r="X1691" s="1"/>
  <c r="V1110"/>
  <c r="P1105"/>
  <c r="X602"/>
  <c r="V1446"/>
  <c r="P1441"/>
  <c r="V521"/>
  <c r="P520"/>
  <c r="J28" i="6" s="1"/>
  <c r="R1507" i="5"/>
  <c r="X1508"/>
  <c r="Q550"/>
  <c r="W551"/>
  <c r="R1715"/>
  <c r="X1716"/>
  <c r="V1662"/>
  <c r="P1657"/>
  <c r="V1657" s="1"/>
  <c r="P1218"/>
  <c r="V1219"/>
  <c r="X1308"/>
  <c r="X573"/>
  <c r="R565"/>
  <c r="L37" i="6" s="1"/>
  <c r="P669" i="5"/>
  <c r="V579"/>
  <c r="P578"/>
  <c r="V1701"/>
  <c r="V1691" s="1"/>
  <c r="P1691"/>
  <c r="V1583"/>
  <c r="P1582"/>
  <c r="V1582" s="1"/>
  <c r="V790"/>
  <c r="P789"/>
  <c r="S1038"/>
  <c r="V1039"/>
  <c r="X530"/>
  <c r="R529"/>
  <c r="L33" i="6" s="1"/>
  <c r="Q1603" i="5"/>
  <c r="W1604"/>
  <c r="R1150"/>
  <c r="X1151"/>
  <c r="V817"/>
  <c r="P816"/>
  <c r="V1490"/>
  <c r="P1489"/>
  <c r="V1489" s="1"/>
  <c r="V1235"/>
  <c r="P1234"/>
  <c r="R1574"/>
  <c r="X1574" s="1"/>
  <c r="X1575"/>
  <c r="R1534"/>
  <c r="X1534" s="1"/>
  <c r="X1535"/>
  <c r="X1454"/>
  <c r="R1617"/>
  <c r="X1618"/>
  <c r="X842"/>
  <c r="R837"/>
  <c r="Q934"/>
  <c r="W934" s="1"/>
  <c r="W935"/>
  <c r="V530"/>
  <c r="P529"/>
  <c r="J33" i="6" s="1"/>
  <c r="V766" i="5"/>
  <c r="P765"/>
  <c r="Q789"/>
  <c r="W789" s="1"/>
  <c r="W790"/>
  <c r="R1648"/>
  <c r="X1649"/>
  <c r="V565"/>
  <c r="P37" i="6" s="1"/>
  <c r="R631" i="5"/>
  <c r="X632"/>
  <c r="W1535"/>
  <c r="Q1534"/>
  <c r="W1534" s="1"/>
  <c r="W1575"/>
  <c r="Q1574"/>
  <c r="W1574" s="1"/>
  <c r="W1219"/>
  <c r="Q1218"/>
  <c r="U521"/>
  <c r="X522"/>
  <c r="P822"/>
  <c r="V822" s="1"/>
  <c r="V823"/>
  <c r="P81" i="6" s="1"/>
  <c r="V1565" i="5"/>
  <c r="P1564"/>
  <c r="Q765"/>
  <c r="W766"/>
  <c r="R1259"/>
  <c r="X1260"/>
  <c r="T775"/>
  <c r="W776"/>
  <c r="Q67" i="6" s="1"/>
  <c r="X648" i="5"/>
  <c r="R1670"/>
  <c r="X1671"/>
  <c r="X1518"/>
  <c r="R1517"/>
  <c r="X440"/>
  <c r="R439"/>
  <c r="L18" i="6" s="1"/>
  <c r="R1624" i="5"/>
  <c r="X1624" s="1"/>
  <c r="X1625"/>
  <c r="P1258"/>
  <c r="V1258" s="1"/>
  <c r="W1110"/>
  <c r="Q1105"/>
  <c r="Q1489"/>
  <c r="W1489" s="1"/>
  <c r="W1490"/>
  <c r="Q529"/>
  <c r="K33" i="6" s="1"/>
  <c r="W530" i="5"/>
  <c r="X681"/>
  <c r="R680"/>
  <c r="X680" s="1"/>
  <c r="P1288"/>
  <c r="V1288" s="1"/>
  <c r="V1289"/>
  <c r="Q1343"/>
  <c r="W1344"/>
  <c r="W1541"/>
  <c r="Q1540"/>
  <c r="W1540" s="1"/>
  <c r="W1234"/>
  <c r="Q1233"/>
  <c r="W1233" s="1"/>
  <c r="R1472"/>
  <c r="X1472" s="1"/>
  <c r="X1473"/>
  <c r="V1456"/>
  <c r="P1455"/>
  <c r="X1270"/>
  <c r="R1269"/>
  <c r="P1397"/>
  <c r="V1398"/>
  <c r="X777"/>
  <c r="R776"/>
  <c r="L67" i="6" s="1"/>
  <c r="R1218" i="5"/>
  <c r="X1219"/>
  <c r="X1658"/>
  <c r="R1657"/>
  <c r="X1657" s="1"/>
  <c r="V755"/>
  <c r="P754"/>
  <c r="X451"/>
  <c r="R450"/>
  <c r="P998"/>
  <c r="V999"/>
  <c r="P445"/>
  <c r="V446"/>
  <c r="X935"/>
  <c r="Q1464"/>
  <c r="W1464" s="1"/>
  <c r="W1465"/>
  <c r="X1142"/>
  <c r="R1141"/>
  <c r="X1141" s="1"/>
  <c r="X998"/>
  <c r="R997"/>
  <c r="X997" s="1"/>
  <c r="V935"/>
  <c r="V1599"/>
  <c r="P1598"/>
  <c r="V1484"/>
  <c r="P1478"/>
  <c r="V1478" s="1"/>
  <c r="W1150"/>
  <c r="Q1149"/>
  <c r="W1692"/>
  <c r="W1691" s="1"/>
  <c r="Q1691"/>
  <c r="R1478"/>
  <c r="X1478" s="1"/>
  <c r="X1479"/>
  <c r="W1446"/>
  <c r="Q1441"/>
  <c r="R1064"/>
  <c r="X1064" s="1"/>
  <c r="X1065"/>
  <c r="V1077"/>
  <c r="P1076"/>
  <c r="V1076" s="1"/>
  <c r="W1289"/>
  <c r="Q1288"/>
  <c r="W1288" s="1"/>
  <c r="P1187"/>
  <c r="V1187" s="1"/>
  <c r="V1319"/>
  <c r="P1313"/>
  <c r="V1313" s="1"/>
  <c r="V1508"/>
  <c r="P1507"/>
  <c r="W1473"/>
  <c r="Q1472"/>
  <c r="W1472" s="1"/>
  <c r="V1088"/>
  <c r="P1087"/>
  <c r="V648"/>
  <c r="W632"/>
  <c r="Q631"/>
  <c r="R1348"/>
  <c r="X1348" s="1"/>
  <c r="X1349"/>
  <c r="X765"/>
  <c r="R764"/>
  <c r="L64" i="6" s="1"/>
  <c r="X1314" i="5"/>
  <c r="S1059"/>
  <c r="V1059" s="1"/>
  <c r="V1060"/>
  <c r="V1065"/>
  <c r="P1064"/>
  <c r="V1064" s="1"/>
  <c r="P831"/>
  <c r="T896"/>
  <c r="W897"/>
  <c r="X1465"/>
  <c r="R1464"/>
  <c r="X1464" s="1"/>
  <c r="R1160"/>
  <c r="X1161"/>
  <c r="P1173"/>
  <c r="V1173" s="1"/>
  <c r="V1174"/>
  <c r="Q1479"/>
  <c r="W1480"/>
  <c r="Q1648"/>
  <c r="W1649"/>
  <c r="V1368"/>
  <c r="P1362"/>
  <c r="V1362" s="1"/>
  <c r="Q1383"/>
  <c r="W1384"/>
  <c r="P697"/>
  <c r="V698"/>
  <c r="P966"/>
  <c r="V966" s="1"/>
  <c r="V967"/>
  <c r="V904"/>
  <c r="P903"/>
  <c r="V903" s="1"/>
  <c r="X1333"/>
  <c r="W1642"/>
  <c r="Q1641"/>
  <c r="W1641" s="1"/>
  <c r="R715"/>
  <c r="R1288"/>
  <c r="X1288" s="1"/>
  <c r="X1289"/>
  <c r="P1297"/>
  <c r="V1298"/>
  <c r="W1199"/>
  <c r="Q1198"/>
  <c r="V1242"/>
  <c r="P1241"/>
  <c r="V1241" s="1"/>
  <c r="X1098"/>
  <c r="R1097"/>
  <c r="X1097" s="1"/>
  <c r="V1374"/>
  <c r="P1373"/>
  <c r="V1373" s="1"/>
  <c r="V1715"/>
  <c r="P1714"/>
  <c r="V1714" s="1"/>
  <c r="V1653"/>
  <c r="P1648"/>
  <c r="P1617"/>
  <c r="V1618"/>
  <c r="W785"/>
  <c r="P1179"/>
  <c r="V1179" s="1"/>
  <c r="V1180"/>
  <c r="P1413"/>
  <c r="V1414"/>
  <c r="Q1319"/>
  <c r="W1320"/>
  <c r="P1429"/>
  <c r="V1429" s="1"/>
  <c r="V1430"/>
  <c r="W884"/>
  <c r="Q883"/>
  <c r="W883" s="1"/>
  <c r="W1686"/>
  <c r="Q1685"/>
  <c r="W1685" s="1"/>
  <c r="R1540"/>
  <c r="X1540" s="1"/>
  <c r="X1541"/>
  <c r="W1143"/>
  <c r="Q1142"/>
  <c r="R1564"/>
  <c r="X1565"/>
  <c r="V1672"/>
  <c r="P1671"/>
  <c r="W1508"/>
  <c r="Q1507"/>
  <c r="W1087"/>
  <c r="Q1086"/>
  <c r="W1086" s="1"/>
  <c r="R824"/>
  <c r="X825"/>
  <c r="Q1269"/>
  <c r="W1270"/>
  <c r="P1540"/>
  <c r="V1540" s="1"/>
  <c r="V1541"/>
  <c r="X1686"/>
  <c r="R1685"/>
  <c r="X1685" s="1"/>
  <c r="Q578"/>
  <c r="W579"/>
  <c r="P1227"/>
  <c r="V1227" s="1"/>
  <c r="V1228"/>
  <c r="V440"/>
  <c r="P439"/>
  <c r="J18" i="6" s="1"/>
  <c r="W702" i="5"/>
  <c r="Q697"/>
  <c r="W451"/>
  <c r="Q450"/>
  <c r="P1268"/>
  <c r="V1269"/>
  <c r="W1671"/>
  <c r="Q1670"/>
  <c r="X1527"/>
  <c r="R1526"/>
  <c r="X1526" s="1"/>
  <c r="R1441"/>
  <c r="X1442"/>
  <c r="Q1396"/>
  <c r="W1397"/>
  <c r="V1167"/>
  <c r="P1166"/>
  <c r="Q837"/>
  <c r="W1618"/>
  <c r="Q1617"/>
  <c r="X1592"/>
  <c r="R1591"/>
  <c r="X1591" s="1"/>
  <c r="Q1455"/>
  <c r="W1456"/>
  <c r="R1198"/>
  <c r="X1199"/>
  <c r="Q1420"/>
  <c r="W1420" s="1"/>
  <c r="W1421"/>
  <c r="V896"/>
  <c r="P895"/>
  <c r="V895" s="1"/>
  <c r="W573"/>
  <c r="Q565"/>
  <c r="K37" i="6" s="1"/>
  <c r="P1333" i="5"/>
  <c r="V1334"/>
  <c r="P740"/>
  <c r="J50" i="6" s="1"/>
  <c r="V741" i="5"/>
  <c r="X1357"/>
  <c r="R1356"/>
  <c r="X1356" s="1"/>
  <c r="W1363"/>
  <c r="Q1362"/>
  <c r="W1362" s="1"/>
  <c r="Q1582"/>
  <c r="W1582" s="1"/>
  <c r="W1583"/>
  <c r="X1435"/>
  <c r="R1429"/>
  <c r="X1429" s="1"/>
  <c r="W999"/>
  <c r="Q998"/>
  <c r="X670"/>
  <c r="Q1564"/>
  <c r="W1565"/>
  <c r="W825"/>
  <c r="Q824"/>
  <c r="X755"/>
  <c r="R754"/>
  <c r="W670"/>
  <c r="Q669"/>
  <c r="K44" i="6" s="1"/>
  <c r="X1599" i="5"/>
  <c r="R1598"/>
  <c r="V1248"/>
  <c r="P1247"/>
  <c r="V1247" s="1"/>
  <c r="R1077"/>
  <c r="X1078"/>
  <c r="V776"/>
  <c r="P67" i="6" s="1"/>
  <c r="X614" i="5"/>
  <c r="R613"/>
  <c r="X613" s="1"/>
  <c r="Q816"/>
  <c r="W817"/>
  <c r="U1550"/>
  <c r="X1551"/>
  <c r="P1632"/>
  <c r="V1632" s="1"/>
  <c r="V1633"/>
  <c r="R483" l="1"/>
  <c r="V445"/>
  <c r="P20" i="6" s="1"/>
  <c r="J20"/>
  <c r="V816" i="5"/>
  <c r="V578"/>
  <c r="P38" i="6" s="1"/>
  <c r="J38"/>
  <c r="V697" i="5"/>
  <c r="P45" i="6" s="1"/>
  <c r="J45"/>
  <c r="W631" i="5"/>
  <c r="X550"/>
  <c r="R34" i="6" s="1"/>
  <c r="L34"/>
  <c r="X784" i="5"/>
  <c r="R68" i="6" s="1"/>
  <c r="L68"/>
  <c r="W816" i="5"/>
  <c r="V669"/>
  <c r="J44" i="6"/>
  <c r="X483" i="5"/>
  <c r="W578"/>
  <c r="Q38" i="6" s="1"/>
  <c r="K38"/>
  <c r="W697" i="5"/>
  <c r="Q45" i="6" s="1"/>
  <c r="K45"/>
  <c r="W550" i="5"/>
  <c r="Q34" i="6" s="1"/>
  <c r="K34"/>
  <c r="R1313" i="5"/>
  <c r="X1313" s="1"/>
  <c r="X631"/>
  <c r="S438"/>
  <c r="S437" s="1"/>
  <c r="Q483"/>
  <c r="V483"/>
  <c r="R669"/>
  <c r="T521"/>
  <c r="W521" s="1"/>
  <c r="R1582"/>
  <c r="X1582" s="1"/>
  <c r="X1583"/>
  <c r="X579"/>
  <c r="R578"/>
  <c r="R1302"/>
  <c r="X1302" s="1"/>
  <c r="W1303"/>
  <c r="Q1302"/>
  <c r="W1302" s="1"/>
  <c r="V1534"/>
  <c r="S1505"/>
  <c r="P1348"/>
  <c r="V1348" s="1"/>
  <c r="V1349"/>
  <c r="Q1632"/>
  <c r="W1632" s="1"/>
  <c r="W1633"/>
  <c r="Q1278"/>
  <c r="W1278" s="1"/>
  <c r="W1279"/>
  <c r="P1356"/>
  <c r="V1356" s="1"/>
  <c r="V1357"/>
  <c r="Q1516"/>
  <c r="W1516" s="1"/>
  <c r="W1517"/>
  <c r="X967"/>
  <c r="R966"/>
  <c r="X1397"/>
  <c r="R1396"/>
  <c r="X1396" s="1"/>
  <c r="Q753"/>
  <c r="W754"/>
  <c r="R1342"/>
  <c r="X1343"/>
  <c r="R1597"/>
  <c r="X1597" s="1"/>
  <c r="X1598"/>
  <c r="W1396"/>
  <c r="R775"/>
  <c r="X775" s="1"/>
  <c r="X776"/>
  <c r="R67" i="6" s="1"/>
  <c r="R1268" i="5"/>
  <c r="X1269"/>
  <c r="W1105"/>
  <c r="Q1097"/>
  <c r="W1097" s="1"/>
  <c r="X1517"/>
  <c r="R1516"/>
  <c r="X1516" s="1"/>
  <c r="V1564"/>
  <c r="P764"/>
  <c r="J64" i="6" s="1"/>
  <c r="V765" i="5"/>
  <c r="P1233"/>
  <c r="V1233" s="1"/>
  <c r="V1234"/>
  <c r="P1217"/>
  <c r="V1218"/>
  <c r="R1714"/>
  <c r="X1714" s="1"/>
  <c r="X1715"/>
  <c r="X1507"/>
  <c r="W837"/>
  <c r="X1564"/>
  <c r="W1198"/>
  <c r="Q1187"/>
  <c r="W1187" s="1"/>
  <c r="P647"/>
  <c r="V647" s="1"/>
  <c r="V1397"/>
  <c r="P1396"/>
  <c r="X1150"/>
  <c r="P1440"/>
  <c r="V1440" s="1"/>
  <c r="V1441"/>
  <c r="Q997"/>
  <c r="W997" s="1"/>
  <c r="W998"/>
  <c r="X1198"/>
  <c r="R1187"/>
  <c r="X1187" s="1"/>
  <c r="V1166"/>
  <c r="P1165"/>
  <c r="V1165" s="1"/>
  <c r="Q873"/>
  <c r="W873" s="1"/>
  <c r="Q1440"/>
  <c r="W1440" s="1"/>
  <c r="W1441"/>
  <c r="X450"/>
  <c r="R445"/>
  <c r="W1564"/>
  <c r="V740"/>
  <c r="P50" i="6" s="1"/>
  <c r="P739" i="5"/>
  <c r="V739" s="1"/>
  <c r="Q564"/>
  <c r="W564" s="1"/>
  <c r="W565"/>
  <c r="Q37" i="6" s="1"/>
  <c r="Q1616" i="5"/>
  <c r="W1617"/>
  <c r="X1441"/>
  <c r="R1440"/>
  <c r="W1269"/>
  <c r="Q1141"/>
  <c r="W1141" s="1"/>
  <c r="W1142"/>
  <c r="Q784"/>
  <c r="K68" i="6" s="1"/>
  <c r="P1647" i="5"/>
  <c r="V1647" s="1"/>
  <c r="V1648"/>
  <c r="X715"/>
  <c r="R697"/>
  <c r="W1383"/>
  <c r="Q1373"/>
  <c r="W1373" s="1"/>
  <c r="W1479"/>
  <c r="Q1478"/>
  <c r="W1478" s="1"/>
  <c r="X1160"/>
  <c r="R1159"/>
  <c r="X1159" s="1"/>
  <c r="T895"/>
  <c r="W896"/>
  <c r="X764"/>
  <c r="R64" i="6" s="1"/>
  <c r="R763" i="5"/>
  <c r="X763" s="1"/>
  <c r="P1086"/>
  <c r="V1086" s="1"/>
  <c r="V1087"/>
  <c r="P1506"/>
  <c r="V1507"/>
  <c r="P934"/>
  <c r="V934" s="1"/>
  <c r="P997"/>
  <c r="V998"/>
  <c r="W529"/>
  <c r="Q33" i="6" s="1"/>
  <c r="Q528" i="5"/>
  <c r="W528" s="1"/>
  <c r="R1258"/>
  <c r="X1258" s="1"/>
  <c r="X1259"/>
  <c r="U520"/>
  <c r="O28" i="6" s="1"/>
  <c r="X521" i="5"/>
  <c r="R1647"/>
  <c r="X1647" s="1"/>
  <c r="X1648"/>
  <c r="X1617"/>
  <c r="R1616"/>
  <c r="W1603"/>
  <c r="Q1597"/>
  <c r="W1597" s="1"/>
  <c r="S997"/>
  <c r="S830" s="1"/>
  <c r="V1038"/>
  <c r="V520"/>
  <c r="P28" i="6" s="1"/>
  <c r="P519" i="5"/>
  <c r="V519" s="1"/>
  <c r="R601"/>
  <c r="W439"/>
  <c r="Q18" i="6" s="1"/>
  <c r="V1333" i="5"/>
  <c r="P1332"/>
  <c r="V1268"/>
  <c r="X824"/>
  <c r="R823"/>
  <c r="L81" i="6" s="1"/>
  <c r="W1648" i="5"/>
  <c r="Q1647"/>
  <c r="W1647" s="1"/>
  <c r="X1218"/>
  <c r="R1217"/>
  <c r="W1343"/>
  <c r="Q1342"/>
  <c r="X1670"/>
  <c r="Q764"/>
  <c r="K64" i="6" s="1"/>
  <c r="W765" i="5"/>
  <c r="X1453"/>
  <c r="X565"/>
  <c r="R37" i="6" s="1"/>
  <c r="V1105" i="5"/>
  <c r="P1097"/>
  <c r="V1097" s="1"/>
  <c r="U1505"/>
  <c r="X1550"/>
  <c r="R1076"/>
  <c r="X1076" s="1"/>
  <c r="X1077"/>
  <c r="R753"/>
  <c r="X754"/>
  <c r="Q1669"/>
  <c r="W1670"/>
  <c r="W1669" s="1"/>
  <c r="W450"/>
  <c r="Q445"/>
  <c r="P1670"/>
  <c r="V1671"/>
  <c r="W1319"/>
  <c r="Q1313"/>
  <c r="W1313" s="1"/>
  <c r="P1616"/>
  <c r="V1617"/>
  <c r="W669"/>
  <c r="Q647"/>
  <c r="W647" s="1"/>
  <c r="Q823"/>
  <c r="K81" i="6" s="1"/>
  <c r="W824" i="5"/>
  <c r="W1455"/>
  <c r="Q1454"/>
  <c r="V439"/>
  <c r="P18" i="6" s="1"/>
  <c r="P438" i="5"/>
  <c r="W1507"/>
  <c r="V1413"/>
  <c r="P1412"/>
  <c r="V1412" s="1"/>
  <c r="V1297"/>
  <c r="P1296"/>
  <c r="V1296" s="1"/>
  <c r="V831"/>
  <c r="W1149"/>
  <c r="P1597"/>
  <c r="V1597" s="1"/>
  <c r="V1598"/>
  <c r="V754"/>
  <c r="P753"/>
  <c r="P1454"/>
  <c r="V1455"/>
  <c r="X439"/>
  <c r="R18" i="6" s="1"/>
  <c r="Q1217" i="5"/>
  <c r="W1218"/>
  <c r="P564"/>
  <c r="V564" s="1"/>
  <c r="V529"/>
  <c r="P33" i="6" s="1"/>
  <c r="P528" i="5"/>
  <c r="V528" s="1"/>
  <c r="X837"/>
  <c r="R831"/>
  <c r="R1453"/>
  <c r="R528"/>
  <c r="X528" s="1"/>
  <c r="X529"/>
  <c r="R33" i="6" s="1"/>
  <c r="V789" i="5"/>
  <c r="P784"/>
  <c r="J68" i="6" s="1"/>
  <c r="W740" i="5"/>
  <c r="Q50" i="6" s="1"/>
  <c r="Q739" i="5"/>
  <c r="W739" s="1"/>
  <c r="V1149"/>
  <c r="V109"/>
  <c r="W109"/>
  <c r="X109"/>
  <c r="T108"/>
  <c r="T107" s="1"/>
  <c r="W107" s="1"/>
  <c r="U108"/>
  <c r="U107" s="1"/>
  <c r="X107" s="1"/>
  <c r="S108"/>
  <c r="S107" s="1"/>
  <c r="V107" s="1"/>
  <c r="V405"/>
  <c r="W405"/>
  <c r="X405"/>
  <c r="T404"/>
  <c r="T403" s="1"/>
  <c r="T402" s="1"/>
  <c r="T401" s="1"/>
  <c r="U404"/>
  <c r="U403" s="1"/>
  <c r="U402" s="1"/>
  <c r="U401" s="1"/>
  <c r="S404"/>
  <c r="S403" s="1"/>
  <c r="S402" s="1"/>
  <c r="S401" s="1"/>
  <c r="S72"/>
  <c r="V72" s="1"/>
  <c r="S102"/>
  <c r="S338"/>
  <c r="W72"/>
  <c r="X72"/>
  <c r="T71"/>
  <c r="W71" s="1"/>
  <c r="U71"/>
  <c r="U70" s="1"/>
  <c r="X70" s="1"/>
  <c r="V290"/>
  <c r="W290"/>
  <c r="X290"/>
  <c r="T289"/>
  <c r="T288" s="1"/>
  <c r="W288" s="1"/>
  <c r="U289"/>
  <c r="U288" s="1"/>
  <c r="X288" s="1"/>
  <c r="S289"/>
  <c r="S288" s="1"/>
  <c r="V288" s="1"/>
  <c r="Q1268" l="1"/>
  <c r="W1268" s="1"/>
  <c r="W1267" s="1"/>
  <c r="V404"/>
  <c r="V401"/>
  <c r="M44" i="6"/>
  <c r="S71" i="5"/>
  <c r="S70" s="1"/>
  <c r="V70" s="1"/>
  <c r="X401"/>
  <c r="O44" i="6"/>
  <c r="P44"/>
  <c r="W401" i="5"/>
  <c r="Q44" i="6" s="1"/>
  <c r="N44"/>
  <c r="X578" i="5"/>
  <c r="R38" i="6" s="1"/>
  <c r="L38"/>
  <c r="W445" i="5"/>
  <c r="Q20" i="6" s="1"/>
  <c r="K20"/>
  <c r="R1563" i="5"/>
  <c r="X669"/>
  <c r="L44" i="6"/>
  <c r="W483" i="5"/>
  <c r="W1148"/>
  <c r="X697"/>
  <c r="R45" i="6" s="1"/>
  <c r="L45"/>
  <c r="P1148" i="5"/>
  <c r="X601"/>
  <c r="R39" i="6" s="1"/>
  <c r="L39"/>
  <c r="X445" i="5"/>
  <c r="R20" i="6" s="1"/>
  <c r="L20"/>
  <c r="T520" i="5"/>
  <c r="R438"/>
  <c r="X438" s="1"/>
  <c r="Q1506"/>
  <c r="Q1505" s="1"/>
  <c r="V1148"/>
  <c r="Q1148"/>
  <c r="R564"/>
  <c r="X564" s="1"/>
  <c r="R1506"/>
  <c r="X1506" s="1"/>
  <c r="X1505" s="1"/>
  <c r="X966"/>
  <c r="R934"/>
  <c r="X934" s="1"/>
  <c r="W1563"/>
  <c r="Q752"/>
  <c r="W752" s="1"/>
  <c r="W753"/>
  <c r="R647"/>
  <c r="X647" s="1"/>
  <c r="P1267"/>
  <c r="Q438"/>
  <c r="W438" s="1"/>
  <c r="V997"/>
  <c r="V830" s="1"/>
  <c r="X1563"/>
  <c r="P1563"/>
  <c r="X1342"/>
  <c r="R1332"/>
  <c r="Q1453"/>
  <c r="W1454"/>
  <c r="W1453" s="1"/>
  <c r="V1267"/>
  <c r="R1615"/>
  <c r="X1616"/>
  <c r="X1615" s="1"/>
  <c r="P830"/>
  <c r="R752"/>
  <c r="X752" s="1"/>
  <c r="X753"/>
  <c r="R1669"/>
  <c r="R1216"/>
  <c r="X1217"/>
  <c r="X1216" s="1"/>
  <c r="X823"/>
  <c r="R81" i="6" s="1"/>
  <c r="R822" i="5"/>
  <c r="X822" s="1"/>
  <c r="P1331"/>
  <c r="V1332"/>
  <c r="V1331" s="1"/>
  <c r="U519"/>
  <c r="X520"/>
  <c r="R28" i="6" s="1"/>
  <c r="W784" i="5"/>
  <c r="Q68" i="6" s="1"/>
  <c r="Q775" i="5"/>
  <c r="W775" s="1"/>
  <c r="W1616"/>
  <c r="W1615" s="1"/>
  <c r="Q1615"/>
  <c r="P1216"/>
  <c r="V1217"/>
  <c r="V1216" s="1"/>
  <c r="P763"/>
  <c r="V763" s="1"/>
  <c r="V764"/>
  <c r="P64" i="6" s="1"/>
  <c r="Q1395" i="5"/>
  <c r="V784"/>
  <c r="P68" i="6" s="1"/>
  <c r="P775" i="5"/>
  <c r="V775" s="1"/>
  <c r="V753"/>
  <c r="P752"/>
  <c r="V752" s="1"/>
  <c r="W823"/>
  <c r="Q81" i="6" s="1"/>
  <c r="Q822" i="5"/>
  <c r="W822" s="1"/>
  <c r="P1615"/>
  <c r="V1616"/>
  <c r="V1615" s="1"/>
  <c r="P1669"/>
  <c r="V1670"/>
  <c r="V1669" s="1"/>
  <c r="W1342"/>
  <c r="Q1332"/>
  <c r="P1395"/>
  <c r="V1396"/>
  <c r="V1395" s="1"/>
  <c r="X831"/>
  <c r="W764"/>
  <c r="Q64" i="6" s="1"/>
  <c r="Q763" i="5"/>
  <c r="W763" s="1"/>
  <c r="T830"/>
  <c r="W895"/>
  <c r="T519"/>
  <c r="Q1216"/>
  <c r="W1217"/>
  <c r="W1216" s="1"/>
  <c r="P1453"/>
  <c r="V1454"/>
  <c r="V1453" s="1"/>
  <c r="V438"/>
  <c r="X1669"/>
  <c r="P1505"/>
  <c r="V1506"/>
  <c r="V1505" s="1"/>
  <c r="X1440"/>
  <c r="X1395" s="1"/>
  <c r="R1395"/>
  <c r="Q1563"/>
  <c r="R1149"/>
  <c r="Q831"/>
  <c r="V1563"/>
  <c r="R1267"/>
  <c r="X1268"/>
  <c r="X1267" s="1"/>
  <c r="W1395"/>
  <c r="V403"/>
  <c r="X402"/>
  <c r="X108"/>
  <c r="W404"/>
  <c r="V402"/>
  <c r="V108"/>
  <c r="X403"/>
  <c r="W402"/>
  <c r="W108"/>
  <c r="X404"/>
  <c r="W403"/>
  <c r="X71"/>
  <c r="T70"/>
  <c r="W70" s="1"/>
  <c r="X289"/>
  <c r="W289"/>
  <c r="V289"/>
  <c r="Q1267" l="1"/>
  <c r="V71"/>
  <c r="R44" i="6"/>
  <c r="W1506" i="5"/>
  <c r="W1505" s="1"/>
  <c r="R1505"/>
  <c r="W520"/>
  <c r="Q28" i="6" s="1"/>
  <c r="N28"/>
  <c r="R437" i="5"/>
  <c r="X830"/>
  <c r="R830"/>
  <c r="P437"/>
  <c r="R1331"/>
  <c r="X1332"/>
  <c r="X1331" s="1"/>
  <c r="X1149"/>
  <c r="X1148" s="1"/>
  <c r="R1148"/>
  <c r="W1332"/>
  <c r="W1331" s="1"/>
  <c r="Q1331"/>
  <c r="U437"/>
  <c r="X519"/>
  <c r="Q830"/>
  <c r="W831"/>
  <c r="W830" s="1"/>
  <c r="W519"/>
  <c r="T437"/>
  <c r="Q437"/>
  <c r="V303"/>
  <c r="W303"/>
  <c r="X303"/>
  <c r="T302"/>
  <c r="T301" s="1"/>
  <c r="W301" s="1"/>
  <c r="U302"/>
  <c r="U301" s="1"/>
  <c r="X301" s="1"/>
  <c r="S302"/>
  <c r="S301" s="1"/>
  <c r="V251"/>
  <c r="W251"/>
  <c r="X251"/>
  <c r="T250"/>
  <c r="T249" s="1"/>
  <c r="W249" s="1"/>
  <c r="U250"/>
  <c r="U249" s="1"/>
  <c r="X249" s="1"/>
  <c r="S250"/>
  <c r="V250" s="1"/>
  <c r="V214"/>
  <c r="W214"/>
  <c r="X214"/>
  <c r="T213"/>
  <c r="T212" s="1"/>
  <c r="W212" s="1"/>
  <c r="U213"/>
  <c r="U212" s="1"/>
  <c r="X212" s="1"/>
  <c r="S213"/>
  <c r="S212" s="1"/>
  <c r="V212" s="1"/>
  <c r="V174"/>
  <c r="W174"/>
  <c r="X174"/>
  <c r="V175"/>
  <c r="V176"/>
  <c r="W176"/>
  <c r="X176"/>
  <c r="T175"/>
  <c r="W175" s="1"/>
  <c r="U175"/>
  <c r="X175" s="1"/>
  <c r="T173"/>
  <c r="W173" s="1"/>
  <c r="U173"/>
  <c r="S173"/>
  <c r="V173" s="1"/>
  <c r="V90"/>
  <c r="W90"/>
  <c r="X90"/>
  <c r="T89"/>
  <c r="T88" s="1"/>
  <c r="W88" s="1"/>
  <c r="U89"/>
  <c r="U88" s="1"/>
  <c r="X88" s="1"/>
  <c r="S89"/>
  <c r="S88" s="1"/>
  <c r="V88" s="1"/>
  <c r="V38"/>
  <c r="W38"/>
  <c r="X38"/>
  <c r="T37"/>
  <c r="T36" s="1"/>
  <c r="U37"/>
  <c r="X37" s="1"/>
  <c r="S37"/>
  <c r="S36" s="1"/>
  <c r="S35" s="1"/>
  <c r="V35" s="1"/>
  <c r="V124"/>
  <c r="W124"/>
  <c r="X124"/>
  <c r="T123"/>
  <c r="T122" s="1"/>
  <c r="W122" s="1"/>
  <c r="U123"/>
  <c r="U122" s="1"/>
  <c r="X122" s="1"/>
  <c r="S123"/>
  <c r="S122" s="1"/>
  <c r="V122" s="1"/>
  <c r="V55"/>
  <c r="W55"/>
  <c r="X55"/>
  <c r="T54"/>
  <c r="T53" s="1"/>
  <c r="W53" s="1"/>
  <c r="U54"/>
  <c r="U53" s="1"/>
  <c r="X53" s="1"/>
  <c r="S54"/>
  <c r="S53" s="1"/>
  <c r="V53" s="1"/>
  <c r="S249" l="1"/>
  <c r="V437"/>
  <c r="X437"/>
  <c r="W437"/>
  <c r="V213"/>
  <c r="S172"/>
  <c r="V172" s="1"/>
  <c r="V123"/>
  <c r="V37"/>
  <c r="V89"/>
  <c r="U172"/>
  <c r="V36"/>
  <c r="T172"/>
  <c r="X173"/>
  <c r="V301"/>
  <c r="X302"/>
  <c r="W302"/>
  <c r="X250"/>
  <c r="W250"/>
  <c r="V302"/>
  <c r="W213"/>
  <c r="W37"/>
  <c r="V249"/>
  <c r="T35"/>
  <c r="W35" s="1"/>
  <c r="W36"/>
  <c r="X123"/>
  <c r="X89"/>
  <c r="W123"/>
  <c r="U36"/>
  <c r="W89"/>
  <c r="X213"/>
  <c r="X54"/>
  <c r="W54"/>
  <c r="V54"/>
  <c r="W172" l="1"/>
  <c r="X172"/>
  <c r="U35"/>
  <c r="X35" s="1"/>
  <c r="X36"/>
  <c r="V34" l="1"/>
  <c r="W34"/>
  <c r="X34"/>
  <c r="T33"/>
  <c r="T32" s="1"/>
  <c r="W32" s="1"/>
  <c r="U33"/>
  <c r="U32" s="1"/>
  <c r="X32" s="1"/>
  <c r="S33"/>
  <c r="V33" s="1"/>
  <c r="V96"/>
  <c r="W96"/>
  <c r="X96"/>
  <c r="T95"/>
  <c r="T94" s="1"/>
  <c r="W94" s="1"/>
  <c r="U95"/>
  <c r="U94" s="1"/>
  <c r="X94" s="1"/>
  <c r="S95"/>
  <c r="S94" s="1"/>
  <c r="V94" s="1"/>
  <c r="V93"/>
  <c r="W93"/>
  <c r="X93"/>
  <c r="T92"/>
  <c r="T91" s="1"/>
  <c r="W91" s="1"/>
  <c r="U92"/>
  <c r="U91" s="1"/>
  <c r="X91" s="1"/>
  <c r="S92"/>
  <c r="S91" s="1"/>
  <c r="V91" s="1"/>
  <c r="V102"/>
  <c r="W102"/>
  <c r="X102"/>
  <c r="T101"/>
  <c r="T100" s="1"/>
  <c r="W100" s="1"/>
  <c r="U101"/>
  <c r="U100" s="1"/>
  <c r="X100" s="1"/>
  <c r="S101"/>
  <c r="S100" s="1"/>
  <c r="V100" s="1"/>
  <c r="S32" l="1"/>
  <c r="V32" s="1"/>
  <c r="W33"/>
  <c r="X95"/>
  <c r="W95"/>
  <c r="X101"/>
  <c r="X33"/>
  <c r="V95"/>
  <c r="W101"/>
  <c r="X92"/>
  <c r="W92"/>
  <c r="V92"/>
  <c r="V101"/>
  <c r="V192"/>
  <c r="W192"/>
  <c r="X192"/>
  <c r="T191"/>
  <c r="T190" s="1"/>
  <c r="W190" s="1"/>
  <c r="U191"/>
  <c r="U190" s="1"/>
  <c r="X190" s="1"/>
  <c r="S191"/>
  <c r="S190" s="1"/>
  <c r="V190" s="1"/>
  <c r="X191" l="1"/>
  <c r="W191"/>
  <c r="V191"/>
  <c r="O82" i="6"/>
  <c r="N82"/>
  <c r="M82"/>
  <c r="O77"/>
  <c r="N77"/>
  <c r="M77"/>
  <c r="U1750" i="5"/>
  <c r="T1750"/>
  <c r="S1750"/>
  <c r="U1748"/>
  <c r="T1748"/>
  <c r="S1748"/>
  <c r="U1738"/>
  <c r="T1738"/>
  <c r="S1738"/>
  <c r="U1736"/>
  <c r="T1736"/>
  <c r="S1736"/>
  <c r="U1733"/>
  <c r="T1733"/>
  <c r="S1733"/>
  <c r="S1732" s="1"/>
  <c r="U434"/>
  <c r="U433" s="1"/>
  <c r="T434"/>
  <c r="U431"/>
  <c r="U430" s="1"/>
  <c r="T431"/>
  <c r="S431"/>
  <c r="U428"/>
  <c r="U427" s="1"/>
  <c r="T428"/>
  <c r="T427" s="1"/>
  <c r="S428"/>
  <c r="S427" s="1"/>
  <c r="U422"/>
  <c r="T422"/>
  <c r="T421" s="1"/>
  <c r="S422"/>
  <c r="S421" s="1"/>
  <c r="U416"/>
  <c r="T416"/>
  <c r="S416"/>
  <c r="U414"/>
  <c r="T414"/>
  <c r="S414"/>
  <c r="S413" s="1"/>
  <c r="U398"/>
  <c r="T398"/>
  <c r="T397" s="1"/>
  <c r="S398"/>
  <c r="S397" s="1"/>
  <c r="S395"/>
  <c r="S394" s="1"/>
  <c r="U395"/>
  <c r="T395"/>
  <c r="U392"/>
  <c r="U391" s="1"/>
  <c r="T392"/>
  <c r="S392"/>
  <c r="S391" s="1"/>
  <c r="U388"/>
  <c r="T388"/>
  <c r="S388"/>
  <c r="S387" s="1"/>
  <c r="U380"/>
  <c r="U379" s="1"/>
  <c r="T380"/>
  <c r="S380"/>
  <c r="S379" s="1"/>
  <c r="U367"/>
  <c r="T367"/>
  <c r="T366" s="1"/>
  <c r="S367"/>
  <c r="S366" s="1"/>
  <c r="U364"/>
  <c r="U363" s="1"/>
  <c r="T364"/>
  <c r="S364"/>
  <c r="S363" s="1"/>
  <c r="U361"/>
  <c r="T361"/>
  <c r="S361"/>
  <c r="U359"/>
  <c r="T359"/>
  <c r="S359"/>
  <c r="U351"/>
  <c r="T351"/>
  <c r="S351"/>
  <c r="U349"/>
  <c r="T349"/>
  <c r="T348" s="1"/>
  <c r="S349"/>
  <c r="U346"/>
  <c r="U345" s="1"/>
  <c r="T346"/>
  <c r="S346"/>
  <c r="U340"/>
  <c r="U339" s="1"/>
  <c r="T340"/>
  <c r="T339" s="1"/>
  <c r="S340"/>
  <c r="S339" s="1"/>
  <c r="U337"/>
  <c r="T337"/>
  <c r="S337"/>
  <c r="S336" s="1"/>
  <c r="U334"/>
  <c r="U333" s="1"/>
  <c r="T334"/>
  <c r="T333" s="1"/>
  <c r="S334"/>
  <c r="S333" s="1"/>
  <c r="U330"/>
  <c r="U329" s="1"/>
  <c r="T330"/>
  <c r="T329" s="1"/>
  <c r="S330"/>
  <c r="U327"/>
  <c r="T327"/>
  <c r="S327"/>
  <c r="U319"/>
  <c r="T319"/>
  <c r="S319"/>
  <c r="U317"/>
  <c r="T317"/>
  <c r="S317"/>
  <c r="U313"/>
  <c r="U312" s="1"/>
  <c r="T313"/>
  <c r="T312" s="1"/>
  <c r="T311" s="1"/>
  <c r="S313"/>
  <c r="S312" s="1"/>
  <c r="U308"/>
  <c r="T308"/>
  <c r="S308"/>
  <c r="U306"/>
  <c r="T306"/>
  <c r="S306"/>
  <c r="U298"/>
  <c r="T298"/>
  <c r="S298"/>
  <c r="U296"/>
  <c r="T296"/>
  <c r="S296"/>
  <c r="S295" s="1"/>
  <c r="U286"/>
  <c r="T286"/>
  <c r="S286"/>
  <c r="S285" s="1"/>
  <c r="U283"/>
  <c r="U282" s="1"/>
  <c r="T283"/>
  <c r="T282" s="1"/>
  <c r="S283"/>
  <c r="S282" s="1"/>
  <c r="U280"/>
  <c r="T280"/>
  <c r="T279" s="1"/>
  <c r="S280"/>
  <c r="S279" s="1"/>
  <c r="U277"/>
  <c r="U276" s="1"/>
  <c r="T277"/>
  <c r="S277"/>
  <c r="S276" s="1"/>
  <c r="U274"/>
  <c r="U273" s="1"/>
  <c r="T274"/>
  <c r="T273" s="1"/>
  <c r="S274"/>
  <c r="U267"/>
  <c r="U266" s="1"/>
  <c r="T267"/>
  <c r="S267"/>
  <c r="S266" s="1"/>
  <c r="S265" s="1"/>
  <c r="U263"/>
  <c r="T263"/>
  <c r="T262" s="1"/>
  <c r="T261" s="1"/>
  <c r="S263"/>
  <c r="S262" s="1"/>
  <c r="U259"/>
  <c r="U258" s="1"/>
  <c r="T259"/>
  <c r="T258" s="1"/>
  <c r="S259"/>
  <c r="S258" s="1"/>
  <c r="U256"/>
  <c r="T256"/>
  <c r="T255" s="1"/>
  <c r="S256"/>
  <c r="S255" s="1"/>
  <c r="U253"/>
  <c r="U252" s="1"/>
  <c r="T253"/>
  <c r="S253"/>
  <c r="S252" s="1"/>
  <c r="U247"/>
  <c r="U246" s="1"/>
  <c r="T247"/>
  <c r="T246" s="1"/>
  <c r="S247"/>
  <c r="U244"/>
  <c r="T244"/>
  <c r="S244"/>
  <c r="U240"/>
  <c r="T240"/>
  <c r="S240"/>
  <c r="U233"/>
  <c r="U232" s="1"/>
  <c r="U231" s="1"/>
  <c r="T233"/>
  <c r="T232" s="1"/>
  <c r="S233"/>
  <c r="S232" s="1"/>
  <c r="U229"/>
  <c r="U228" s="1"/>
  <c r="T229"/>
  <c r="T228" s="1"/>
  <c r="S229"/>
  <c r="U225"/>
  <c r="U224" s="1"/>
  <c r="T225"/>
  <c r="S225"/>
  <c r="S224" s="1"/>
  <c r="U222"/>
  <c r="U221" s="1"/>
  <c r="T222"/>
  <c r="T221" s="1"/>
  <c r="S222"/>
  <c r="U219"/>
  <c r="U218" s="1"/>
  <c r="T219"/>
  <c r="T218" s="1"/>
  <c r="S219"/>
  <c r="S218" s="1"/>
  <c r="U216"/>
  <c r="T216"/>
  <c r="T215" s="1"/>
  <c r="S216"/>
  <c r="S215" s="1"/>
  <c r="U210"/>
  <c r="U209" s="1"/>
  <c r="T210"/>
  <c r="S210"/>
  <c r="S209" s="1"/>
  <c r="U207"/>
  <c r="U206" s="1"/>
  <c r="T207"/>
  <c r="T206" s="1"/>
  <c r="S207"/>
  <c r="U204"/>
  <c r="U203" s="1"/>
  <c r="T204"/>
  <c r="T203" s="1"/>
  <c r="S204"/>
  <c r="S203" s="1"/>
  <c r="U197"/>
  <c r="U196" s="1"/>
  <c r="T197"/>
  <c r="T196" s="1"/>
  <c r="S197"/>
  <c r="U194"/>
  <c r="T194"/>
  <c r="T193" s="1"/>
  <c r="S194"/>
  <c r="S193" s="1"/>
  <c r="U188"/>
  <c r="T188"/>
  <c r="T187" s="1"/>
  <c r="S188"/>
  <c r="S187" s="1"/>
  <c r="U185"/>
  <c r="U184" s="1"/>
  <c r="T185"/>
  <c r="S185"/>
  <c r="S184" s="1"/>
  <c r="U170"/>
  <c r="T170"/>
  <c r="S170"/>
  <c r="U168"/>
  <c r="T168"/>
  <c r="S168"/>
  <c r="U165"/>
  <c r="T165"/>
  <c r="S165"/>
  <c r="U163"/>
  <c r="T163"/>
  <c r="S163"/>
  <c r="U156"/>
  <c r="U155" s="1"/>
  <c r="T156"/>
  <c r="T155" s="1"/>
  <c r="S156"/>
  <c r="U149"/>
  <c r="T149"/>
  <c r="S149"/>
  <c r="U147"/>
  <c r="T147"/>
  <c r="S147"/>
  <c r="U145"/>
  <c r="T145"/>
  <c r="S145"/>
  <c r="U139"/>
  <c r="T139"/>
  <c r="T138" s="1"/>
  <c r="S139"/>
  <c r="S138" s="1"/>
  <c r="U136"/>
  <c r="U135" s="1"/>
  <c r="T136"/>
  <c r="S136"/>
  <c r="S135" s="1"/>
  <c r="U132"/>
  <c r="T132"/>
  <c r="T131" s="1"/>
  <c r="S132"/>
  <c r="S131" s="1"/>
  <c r="U129"/>
  <c r="U128" s="1"/>
  <c r="T129"/>
  <c r="S129"/>
  <c r="U126"/>
  <c r="U125" s="1"/>
  <c r="T126"/>
  <c r="T125" s="1"/>
  <c r="S126"/>
  <c r="U120"/>
  <c r="U119" s="1"/>
  <c r="T120"/>
  <c r="T119" s="1"/>
  <c r="S120"/>
  <c r="S119" s="1"/>
  <c r="U117"/>
  <c r="T117"/>
  <c r="T116" s="1"/>
  <c r="S117"/>
  <c r="S116" s="1"/>
  <c r="U114"/>
  <c r="U113" s="1"/>
  <c r="T114"/>
  <c r="S114"/>
  <c r="S113" s="1"/>
  <c r="U111"/>
  <c r="U110" s="1"/>
  <c r="T111"/>
  <c r="T110" s="1"/>
  <c r="S111"/>
  <c r="U104"/>
  <c r="U103" s="1"/>
  <c r="T104"/>
  <c r="S104"/>
  <c r="U98"/>
  <c r="U97" s="1"/>
  <c r="T98"/>
  <c r="T97" s="1"/>
  <c r="S98"/>
  <c r="U86"/>
  <c r="U85" s="1"/>
  <c r="T86"/>
  <c r="S86"/>
  <c r="S85" s="1"/>
  <c r="U83"/>
  <c r="U82" s="1"/>
  <c r="T83"/>
  <c r="T82" s="1"/>
  <c r="S83"/>
  <c r="S82" s="1"/>
  <c r="U80"/>
  <c r="U79" s="1"/>
  <c r="T80"/>
  <c r="T79" s="1"/>
  <c r="S80"/>
  <c r="S79" s="1"/>
  <c r="U77"/>
  <c r="U76" s="1"/>
  <c r="T77"/>
  <c r="T76" s="1"/>
  <c r="S77"/>
  <c r="S76" s="1"/>
  <c r="U74"/>
  <c r="U73" s="1"/>
  <c r="T74"/>
  <c r="T73" s="1"/>
  <c r="S74"/>
  <c r="S73" s="1"/>
  <c r="U63"/>
  <c r="T63"/>
  <c r="T62" s="1"/>
  <c r="T61" s="1"/>
  <c r="T60" s="1"/>
  <c r="S63"/>
  <c r="S62" s="1"/>
  <c r="S61" s="1"/>
  <c r="U57"/>
  <c r="U56" s="1"/>
  <c r="T57"/>
  <c r="T56" s="1"/>
  <c r="S57"/>
  <c r="S56" s="1"/>
  <c r="U51"/>
  <c r="U50" s="1"/>
  <c r="T51"/>
  <c r="T50" s="1"/>
  <c r="S51"/>
  <c r="S50" s="1"/>
  <c r="U48"/>
  <c r="T48"/>
  <c r="S48"/>
  <c r="U45"/>
  <c r="U44" s="1"/>
  <c r="T45"/>
  <c r="T44" s="1"/>
  <c r="S45"/>
  <c r="S44" s="1"/>
  <c r="U30"/>
  <c r="T30"/>
  <c r="T29" s="1"/>
  <c r="T28" s="1"/>
  <c r="S30"/>
  <c r="U26"/>
  <c r="U25" s="1"/>
  <c r="U24" s="1"/>
  <c r="T26"/>
  <c r="T25" s="1"/>
  <c r="S26"/>
  <c r="S25" s="1"/>
  <c r="S24" s="1"/>
  <c r="U22"/>
  <c r="U21" s="1"/>
  <c r="U20" s="1"/>
  <c r="T22"/>
  <c r="T21" s="1"/>
  <c r="T20" s="1"/>
  <c r="S22"/>
  <c r="S1735" l="1"/>
  <c r="S1747"/>
  <c r="T1735"/>
  <c r="T1747"/>
  <c r="U1735"/>
  <c r="U1747"/>
  <c r="T167"/>
  <c r="T162"/>
  <c r="T161" s="1"/>
  <c r="T239"/>
  <c r="S1746"/>
  <c r="T144"/>
  <c r="T143" s="1"/>
  <c r="S162"/>
  <c r="T295"/>
  <c r="T294" s="1"/>
  <c r="U316"/>
  <c r="U315" s="1"/>
  <c r="U295"/>
  <c r="U294" s="1"/>
  <c r="T43"/>
  <c r="U144"/>
  <c r="U143" s="1"/>
  <c r="U142" s="1"/>
  <c r="O61" i="6" s="1"/>
  <c r="U69" i="5"/>
  <c r="U43"/>
  <c r="S43"/>
  <c r="S42" s="1"/>
  <c r="S41" s="1"/>
  <c r="S305"/>
  <c r="S304" s="1"/>
  <c r="T305"/>
  <c r="T304" s="1"/>
  <c r="T1746"/>
  <c r="S144"/>
  <c r="S167"/>
  <c r="U348"/>
  <c r="U344" s="1"/>
  <c r="U343" s="1"/>
  <c r="T387"/>
  <c r="T386" s="1"/>
  <c r="T385" s="1"/>
  <c r="S345"/>
  <c r="S134"/>
  <c r="T24"/>
  <c r="T19" s="1"/>
  <c r="S97"/>
  <c r="U29"/>
  <c r="U28" s="1"/>
  <c r="U19" s="1"/>
  <c r="S60"/>
  <c r="T154"/>
  <c r="T153" s="1"/>
  <c r="S21"/>
  <c r="T336"/>
  <c r="M27" i="6"/>
  <c r="T394" i="5"/>
  <c r="S326"/>
  <c r="U193"/>
  <c r="S128"/>
  <c r="S103"/>
  <c r="T135"/>
  <c r="U239"/>
  <c r="S261"/>
  <c r="T379"/>
  <c r="T391"/>
  <c r="S110"/>
  <c r="U138"/>
  <c r="U134" s="1"/>
  <c r="S155"/>
  <c r="S206"/>
  <c r="U265"/>
  <c r="U311"/>
  <c r="T316"/>
  <c r="U326"/>
  <c r="U325" s="1"/>
  <c r="S420"/>
  <c r="U116"/>
  <c r="S125"/>
  <c r="T128"/>
  <c r="S143"/>
  <c r="U187"/>
  <c r="S196"/>
  <c r="S183" s="1"/>
  <c r="S182" s="1"/>
  <c r="S181" s="1"/>
  <c r="U215"/>
  <c r="U202" s="1"/>
  <c r="S221"/>
  <c r="T224"/>
  <c r="T227"/>
  <c r="T231"/>
  <c r="S239"/>
  <c r="U262"/>
  <c r="S273"/>
  <c r="S272" s="1"/>
  <c r="T276"/>
  <c r="U285"/>
  <c r="U336"/>
  <c r="S348"/>
  <c r="T358"/>
  <c r="U358"/>
  <c r="S378"/>
  <c r="S390"/>
  <c r="T420"/>
  <c r="T103"/>
  <c r="U255"/>
  <c r="U305"/>
  <c r="T326"/>
  <c r="S329"/>
  <c r="T345"/>
  <c r="U387"/>
  <c r="U394"/>
  <c r="T113"/>
  <c r="T184"/>
  <c r="T183" s="1"/>
  <c r="T209"/>
  <c r="U227"/>
  <c r="T285"/>
  <c r="S29"/>
  <c r="S28" s="1"/>
  <c r="U62"/>
  <c r="T85"/>
  <c r="U131"/>
  <c r="U154"/>
  <c r="U162"/>
  <c r="U167"/>
  <c r="S228"/>
  <c r="S231"/>
  <c r="S246"/>
  <c r="T252"/>
  <c r="T238" s="1"/>
  <c r="T266"/>
  <c r="U279"/>
  <c r="S316"/>
  <c r="U397"/>
  <c r="T413"/>
  <c r="U413"/>
  <c r="T363"/>
  <c r="U366"/>
  <c r="U421"/>
  <c r="S434"/>
  <c r="M48" i="6"/>
  <c r="S311" i="5"/>
  <c r="S332"/>
  <c r="S358"/>
  <c r="U378"/>
  <c r="S386"/>
  <c r="S412"/>
  <c r="U426"/>
  <c r="T430"/>
  <c r="T433"/>
  <c r="S430"/>
  <c r="S1731"/>
  <c r="U1732"/>
  <c r="T1732"/>
  <c r="T106" l="1"/>
  <c r="U272"/>
  <c r="U271" s="1"/>
  <c r="S106"/>
  <c r="T293"/>
  <c r="S238"/>
  <c r="U161"/>
  <c r="T69"/>
  <c r="U238"/>
  <c r="U106"/>
  <c r="S161"/>
  <c r="S160" s="1"/>
  <c r="M73" i="6" s="1"/>
  <c r="M72" s="1"/>
  <c r="T272" i="5"/>
  <c r="S69"/>
  <c r="T202"/>
  <c r="S202"/>
  <c r="U183"/>
  <c r="U182" s="1"/>
  <c r="T332"/>
  <c r="O70" i="6"/>
  <c r="T152" i="5"/>
  <c r="S40"/>
  <c r="S20"/>
  <c r="S19" s="1"/>
  <c r="U420"/>
  <c r="T412"/>
  <c r="S294"/>
  <c r="U201"/>
  <c r="U425"/>
  <c r="S433"/>
  <c r="S426" s="1"/>
  <c r="U153"/>
  <c r="T344"/>
  <c r="S419"/>
  <c r="T142"/>
  <c r="N61" i="6" s="1"/>
  <c r="T134" i="5"/>
  <c r="S1745"/>
  <c r="U1731"/>
  <c r="T1745"/>
  <c r="S411"/>
  <c r="S385"/>
  <c r="S384" s="1"/>
  <c r="S357"/>
  <c r="T426"/>
  <c r="U412"/>
  <c r="S315"/>
  <c r="T265"/>
  <c r="U61"/>
  <c r="U386"/>
  <c r="S325"/>
  <c r="U304"/>
  <c r="T419"/>
  <c r="T357"/>
  <c r="T325"/>
  <c r="S154"/>
  <c r="T1731"/>
  <c r="S1730"/>
  <c r="M19" i="6" s="1"/>
  <c r="O48"/>
  <c r="U390" i="5"/>
  <c r="U332"/>
  <c r="T160"/>
  <c r="N73" i="6" s="1"/>
  <c r="T18" i="5"/>
  <c r="U1746"/>
  <c r="U377"/>
  <c r="S227"/>
  <c r="U357"/>
  <c r="T378"/>
  <c r="U42"/>
  <c r="S377"/>
  <c r="S344"/>
  <c r="U261"/>
  <c r="S142"/>
  <c r="M61" i="6" s="1"/>
  <c r="T42" i="5"/>
  <c r="T390"/>
  <c r="T315"/>
  <c r="M396"/>
  <c r="M435"/>
  <c r="M434" s="1"/>
  <c r="P432"/>
  <c r="V432" s="1"/>
  <c r="Q432"/>
  <c r="W432" s="1"/>
  <c r="R432"/>
  <c r="X432" s="1"/>
  <c r="Q435"/>
  <c r="W435" s="1"/>
  <c r="R435"/>
  <c r="X435" s="1"/>
  <c r="K434"/>
  <c r="K433" s="1"/>
  <c r="L434"/>
  <c r="L433" s="1"/>
  <c r="N434"/>
  <c r="N433" s="1"/>
  <c r="O434"/>
  <c r="O433" s="1"/>
  <c r="J434"/>
  <c r="J433" s="1"/>
  <c r="K431"/>
  <c r="K430" s="1"/>
  <c r="L431"/>
  <c r="L430" s="1"/>
  <c r="M431"/>
  <c r="M430" s="1"/>
  <c r="N431"/>
  <c r="N430" s="1"/>
  <c r="O431"/>
  <c r="O430" s="1"/>
  <c r="J431"/>
  <c r="J430" s="1"/>
  <c r="P435" l="1"/>
  <c r="V435" s="1"/>
  <c r="M40" i="6"/>
  <c r="S370" i="5"/>
  <c r="O40" i="6"/>
  <c r="U370" i="5"/>
  <c r="S383"/>
  <c r="M43" i="6"/>
  <c r="T292" i="5"/>
  <c r="N57" i="6" s="1"/>
  <c r="S68" i="5"/>
  <c r="S67" s="1"/>
  <c r="M60" i="6" s="1"/>
  <c r="M59" s="1"/>
  <c r="P430" i="5"/>
  <c r="V430" s="1"/>
  <c r="R430"/>
  <c r="X430" s="1"/>
  <c r="N24" i="6"/>
  <c r="M24"/>
  <c r="N72"/>
  <c r="T159" i="5"/>
  <c r="S1729"/>
  <c r="T237"/>
  <c r="T271"/>
  <c r="U385"/>
  <c r="T425"/>
  <c r="S1744"/>
  <c r="U152"/>
  <c r="T411"/>
  <c r="S343"/>
  <c r="T182"/>
  <c r="M53" i="6"/>
  <c r="S159" i="5"/>
  <c r="U324"/>
  <c r="T324"/>
  <c r="U293"/>
  <c r="S237"/>
  <c r="S410"/>
  <c r="M22" i="6" s="1"/>
  <c r="N48"/>
  <c r="S293" i="5"/>
  <c r="U419"/>
  <c r="T41"/>
  <c r="S425"/>
  <c r="U41"/>
  <c r="U160"/>
  <c r="O73" i="6" s="1"/>
  <c r="O27"/>
  <c r="U68" i="5"/>
  <c r="S271"/>
  <c r="U270"/>
  <c r="S153"/>
  <c r="U237"/>
  <c r="S324"/>
  <c r="U60"/>
  <c r="U411"/>
  <c r="S356"/>
  <c r="O80" i="6"/>
  <c r="U181" i="5"/>
  <c r="O53" i="6" s="1"/>
  <c r="S201" i="5"/>
  <c r="T384"/>
  <c r="T68"/>
  <c r="T201"/>
  <c r="T377"/>
  <c r="U356"/>
  <c r="O25" i="6" s="1"/>
  <c r="U1745" i="5"/>
  <c r="T1730"/>
  <c r="N19" i="6" s="1"/>
  <c r="T356" i="5"/>
  <c r="T1744"/>
  <c r="U1730"/>
  <c r="O19" i="6" s="1"/>
  <c r="T343" i="5"/>
  <c r="N27" i="6"/>
  <c r="U200" i="5"/>
  <c r="O54" i="6" s="1"/>
  <c r="Q434" i="5"/>
  <c r="W434" s="1"/>
  <c r="Q433"/>
  <c r="W433" s="1"/>
  <c r="R433"/>
  <c r="X433" s="1"/>
  <c r="Q430"/>
  <c r="W430" s="1"/>
  <c r="R431"/>
  <c r="X431" s="1"/>
  <c r="R434"/>
  <c r="X434" s="1"/>
  <c r="Q431"/>
  <c r="W431" s="1"/>
  <c r="M433"/>
  <c r="P433" s="1"/>
  <c r="V433" s="1"/>
  <c r="P434"/>
  <c r="V434" s="1"/>
  <c r="P431"/>
  <c r="V431" s="1"/>
  <c r="N40" i="6" l="1"/>
  <c r="T370" i="5"/>
  <c r="M25" i="6"/>
  <c r="T383" i="5"/>
  <c r="N43" i="6"/>
  <c r="N25"/>
  <c r="M70"/>
  <c r="M30"/>
  <c r="O30"/>
  <c r="N30"/>
  <c r="N70"/>
  <c r="O24"/>
  <c r="O72"/>
  <c r="U18" i="5"/>
  <c r="O56" i="6"/>
  <c r="T1743" i="5"/>
  <c r="T1729"/>
  <c r="U236"/>
  <c r="O55" i="6" s="1"/>
  <c r="S270" i="5"/>
  <c r="U292"/>
  <c r="T236"/>
  <c r="N55" i="6" s="1"/>
  <c r="U384" i="5"/>
  <c r="O43" i="6" s="1"/>
  <c r="U355" i="5"/>
  <c r="T67"/>
  <c r="N60" i="6" s="1"/>
  <c r="S355" i="5"/>
  <c r="S66"/>
  <c r="U40"/>
  <c r="N80" i="6"/>
  <c r="S236" i="5"/>
  <c r="M55" i="6" s="1"/>
  <c r="T323" i="5"/>
  <c r="N69" i="6" s="1"/>
  <c r="U1729" i="5"/>
  <c r="T355"/>
  <c r="U1744"/>
  <c r="U410"/>
  <c r="O22" i="6" s="1"/>
  <c r="S152" i="5"/>
  <c r="U67"/>
  <c r="O60" i="6" s="1"/>
  <c r="O63"/>
  <c r="U159" i="5"/>
  <c r="T40"/>
  <c r="S292"/>
  <c r="M80" i="6"/>
  <c r="T181" i="5"/>
  <c r="N53" i="6" s="1"/>
  <c r="T410" i="5"/>
  <c r="N22" i="6" s="1"/>
  <c r="S1743" i="5"/>
  <c r="S1728"/>
  <c r="T200"/>
  <c r="N54" i="6" s="1"/>
  <c r="S200" i="5"/>
  <c r="M54" i="6" s="1"/>
  <c r="S323" i="5"/>
  <c r="M69" i="6" s="1"/>
  <c r="S18" i="5"/>
  <c r="S408"/>
  <c r="U323"/>
  <c r="O69" i="6" s="1"/>
  <c r="T270" i="5"/>
  <c r="O42" i="6" l="1"/>
  <c r="U383" i="5"/>
  <c r="M17" i="6"/>
  <c r="N42"/>
  <c r="M36"/>
  <c r="M57"/>
  <c r="O17"/>
  <c r="N36"/>
  <c r="N17"/>
  <c r="N56"/>
  <c r="O57"/>
  <c r="M56"/>
  <c r="O36"/>
  <c r="O59"/>
  <c r="N59"/>
  <c r="O66"/>
  <c r="N66"/>
  <c r="M66"/>
  <c r="S180" i="5"/>
  <c r="U322"/>
  <c r="U1743"/>
  <c r="T322"/>
  <c r="T1728"/>
  <c r="S17"/>
  <c r="S322"/>
  <c r="T408"/>
  <c r="U66"/>
  <c r="U408"/>
  <c r="U180"/>
  <c r="T354"/>
  <c r="S354"/>
  <c r="S407"/>
  <c r="T180"/>
  <c r="M63" i="6"/>
  <c r="U1728" i="5"/>
  <c r="N63" i="6"/>
  <c r="T66" i="5"/>
  <c r="L396"/>
  <c r="K396"/>
  <c r="J396"/>
  <c r="R335"/>
  <c r="X335" s="1"/>
  <c r="Q335"/>
  <c r="W335" s="1"/>
  <c r="P335"/>
  <c r="V335" s="1"/>
  <c r="O334"/>
  <c r="O333" s="1"/>
  <c r="N334"/>
  <c r="N333" s="1"/>
  <c r="M334"/>
  <c r="M333" s="1"/>
  <c r="L334"/>
  <c r="K334"/>
  <c r="J334"/>
  <c r="J333" s="1"/>
  <c r="P328"/>
  <c r="V328" s="1"/>
  <c r="Q328"/>
  <c r="W328" s="1"/>
  <c r="R328"/>
  <c r="X328" s="1"/>
  <c r="K327"/>
  <c r="K326" s="1"/>
  <c r="L327"/>
  <c r="L326" s="1"/>
  <c r="M327"/>
  <c r="M326" s="1"/>
  <c r="N327"/>
  <c r="N326" s="1"/>
  <c r="O327"/>
  <c r="O326" s="1"/>
  <c r="J327"/>
  <c r="J326" s="1"/>
  <c r="P105"/>
  <c r="V105" s="1"/>
  <c r="Q105"/>
  <c r="W105" s="1"/>
  <c r="R105"/>
  <c r="X105" s="1"/>
  <c r="K104"/>
  <c r="K103" s="1"/>
  <c r="L104"/>
  <c r="L103" s="1"/>
  <c r="M104"/>
  <c r="M103" s="1"/>
  <c r="N104"/>
  <c r="N103" s="1"/>
  <c r="O104"/>
  <c r="O103" s="1"/>
  <c r="J104"/>
  <c r="J103" s="1"/>
  <c r="M42" i="6" l="1"/>
  <c r="O52"/>
  <c r="O83" s="1"/>
  <c r="N52"/>
  <c r="N83" s="1"/>
  <c r="M52"/>
  <c r="U354" i="5"/>
  <c r="T17"/>
  <c r="U17"/>
  <c r="U407"/>
  <c r="S179"/>
  <c r="S1756" s="1"/>
  <c r="T407"/>
  <c r="T179"/>
  <c r="U179"/>
  <c r="P103"/>
  <c r="V103" s="1"/>
  <c r="R326"/>
  <c r="X326" s="1"/>
  <c r="Q326"/>
  <c r="W326" s="1"/>
  <c r="Q334"/>
  <c r="W334" s="1"/>
  <c r="R103"/>
  <c r="X103" s="1"/>
  <c r="Q327"/>
  <c r="W327" s="1"/>
  <c r="R334"/>
  <c r="X334" s="1"/>
  <c r="L333"/>
  <c r="R333" s="1"/>
  <c r="X333" s="1"/>
  <c r="R327"/>
  <c r="X327" s="1"/>
  <c r="K333"/>
  <c r="Q333" s="1"/>
  <c r="W333" s="1"/>
  <c r="P333"/>
  <c r="V333" s="1"/>
  <c r="P334"/>
  <c r="V334" s="1"/>
  <c r="P326"/>
  <c r="V326" s="1"/>
  <c r="P327"/>
  <c r="V327" s="1"/>
  <c r="P104"/>
  <c r="V104" s="1"/>
  <c r="Q103"/>
  <c r="W103" s="1"/>
  <c r="R104"/>
  <c r="X104" s="1"/>
  <c r="Q104"/>
  <c r="W104" s="1"/>
  <c r="G77" i="6"/>
  <c r="H77"/>
  <c r="I77"/>
  <c r="G82"/>
  <c r="J82" s="1"/>
  <c r="P82" s="1"/>
  <c r="H82"/>
  <c r="I82"/>
  <c r="L78"/>
  <c r="R78" s="1"/>
  <c r="K78"/>
  <c r="Q78" s="1"/>
  <c r="J78"/>
  <c r="P78" s="1"/>
  <c r="L76"/>
  <c r="R76" s="1"/>
  <c r="K76"/>
  <c r="Q76" s="1"/>
  <c r="J76"/>
  <c r="P76" s="1"/>
  <c r="L75"/>
  <c r="R75" s="1"/>
  <c r="K75"/>
  <c r="Q75" s="1"/>
  <c r="J75"/>
  <c r="P75" s="1"/>
  <c r="L74"/>
  <c r="R74" s="1"/>
  <c r="K74"/>
  <c r="Q74" s="1"/>
  <c r="J74"/>
  <c r="P74" s="1"/>
  <c r="L49"/>
  <c r="R49" s="1"/>
  <c r="K49"/>
  <c r="Q49" s="1"/>
  <c r="J49"/>
  <c r="P49" s="1"/>
  <c r="L32"/>
  <c r="R32" s="1"/>
  <c r="K32"/>
  <c r="Q32" s="1"/>
  <c r="J32"/>
  <c r="P32" s="1"/>
  <c r="L31"/>
  <c r="R31" s="1"/>
  <c r="K31"/>
  <c r="Q31" s="1"/>
  <c r="J31"/>
  <c r="P31" s="1"/>
  <c r="L29"/>
  <c r="R29" s="1"/>
  <c r="K29"/>
  <c r="Q29" s="1"/>
  <c r="J29"/>
  <c r="P29" s="1"/>
  <c r="L23"/>
  <c r="R23" s="1"/>
  <c r="K23"/>
  <c r="Q23" s="1"/>
  <c r="J23"/>
  <c r="P23" s="1"/>
  <c r="M1750" i="5"/>
  <c r="N1750"/>
  <c r="O1750"/>
  <c r="M1748"/>
  <c r="N1748"/>
  <c r="O1748"/>
  <c r="M1738"/>
  <c r="N1738"/>
  <c r="O1738"/>
  <c r="M1736"/>
  <c r="N1736"/>
  <c r="O1736"/>
  <c r="M1733"/>
  <c r="M1732" s="1"/>
  <c r="N1733"/>
  <c r="N1732" s="1"/>
  <c r="O1733"/>
  <c r="O1732" s="1"/>
  <c r="M428"/>
  <c r="M427" s="1"/>
  <c r="N428"/>
  <c r="N427" s="1"/>
  <c r="O428"/>
  <c r="O427" s="1"/>
  <c r="M422"/>
  <c r="M421" s="1"/>
  <c r="M420" s="1"/>
  <c r="M419" s="1"/>
  <c r="G24" i="6" s="1"/>
  <c r="N422" i="5"/>
  <c r="N421" s="1"/>
  <c r="N420" s="1"/>
  <c r="N419" s="1"/>
  <c r="H24" i="6" s="1"/>
  <c r="O422" i="5"/>
  <c r="O421" s="1"/>
  <c r="O420" s="1"/>
  <c r="O419" s="1"/>
  <c r="I24" i="6" s="1"/>
  <c r="M416" i="5"/>
  <c r="N416"/>
  <c r="O416"/>
  <c r="M414"/>
  <c r="N414"/>
  <c r="O414"/>
  <c r="M398"/>
  <c r="M397" s="1"/>
  <c r="N398"/>
  <c r="N397" s="1"/>
  <c r="O398"/>
  <c r="O397" s="1"/>
  <c r="M395"/>
  <c r="M394" s="1"/>
  <c r="N395"/>
  <c r="N394" s="1"/>
  <c r="O395"/>
  <c r="O394" s="1"/>
  <c r="M392"/>
  <c r="M391" s="1"/>
  <c r="N392"/>
  <c r="N391" s="1"/>
  <c r="O392"/>
  <c r="O391" s="1"/>
  <c r="M388"/>
  <c r="M387" s="1"/>
  <c r="M386" s="1"/>
  <c r="M385" s="1"/>
  <c r="N388"/>
  <c r="N387" s="1"/>
  <c r="N386" s="1"/>
  <c r="N385" s="1"/>
  <c r="O388"/>
  <c r="O387" s="1"/>
  <c r="O386" s="1"/>
  <c r="O385" s="1"/>
  <c r="M380"/>
  <c r="M379" s="1"/>
  <c r="M378" s="1"/>
  <c r="M377" s="1"/>
  <c r="G40" i="6" s="1"/>
  <c r="N380" i="5"/>
  <c r="N379" s="1"/>
  <c r="N378" s="1"/>
  <c r="N377" s="1"/>
  <c r="H40" i="6" s="1"/>
  <c r="O380" i="5"/>
  <c r="O379" s="1"/>
  <c r="O378" s="1"/>
  <c r="O377" s="1"/>
  <c r="I40" i="6" s="1"/>
  <c r="M367" i="5"/>
  <c r="M366" s="1"/>
  <c r="N367"/>
  <c r="N366" s="1"/>
  <c r="O367"/>
  <c r="O366" s="1"/>
  <c r="M364"/>
  <c r="M363" s="1"/>
  <c r="N364"/>
  <c r="N363" s="1"/>
  <c r="O364"/>
  <c r="O363" s="1"/>
  <c r="M361"/>
  <c r="N361"/>
  <c r="O361"/>
  <c r="M359"/>
  <c r="N359"/>
  <c r="O359"/>
  <c r="M351"/>
  <c r="N351"/>
  <c r="O351"/>
  <c r="M349"/>
  <c r="N349"/>
  <c r="O349"/>
  <c r="M346"/>
  <c r="M345" s="1"/>
  <c r="N346"/>
  <c r="N345" s="1"/>
  <c r="O346"/>
  <c r="O345" s="1"/>
  <c r="M340"/>
  <c r="M339" s="1"/>
  <c r="N340"/>
  <c r="N339" s="1"/>
  <c r="O340"/>
  <c r="O339" s="1"/>
  <c r="M337"/>
  <c r="M336" s="1"/>
  <c r="N337"/>
  <c r="N336" s="1"/>
  <c r="O337"/>
  <c r="O336" s="1"/>
  <c r="M330"/>
  <c r="M329" s="1"/>
  <c r="M325" s="1"/>
  <c r="N330"/>
  <c r="N329" s="1"/>
  <c r="N325" s="1"/>
  <c r="O330"/>
  <c r="O329" s="1"/>
  <c r="O325" s="1"/>
  <c r="M319"/>
  <c r="N319"/>
  <c r="O319"/>
  <c r="M317"/>
  <c r="N317"/>
  <c r="O317"/>
  <c r="M313"/>
  <c r="M312" s="1"/>
  <c r="M311" s="1"/>
  <c r="N313"/>
  <c r="N312" s="1"/>
  <c r="N311" s="1"/>
  <c r="O313"/>
  <c r="O312" s="1"/>
  <c r="O311" s="1"/>
  <c r="M308"/>
  <c r="N308"/>
  <c r="O308"/>
  <c r="M306"/>
  <c r="N306"/>
  <c r="O306"/>
  <c r="M298"/>
  <c r="N298"/>
  <c r="O298"/>
  <c r="M296"/>
  <c r="N296"/>
  <c r="O296"/>
  <c r="M286"/>
  <c r="M285" s="1"/>
  <c r="N286"/>
  <c r="N285" s="1"/>
  <c r="O286"/>
  <c r="O285" s="1"/>
  <c r="M283"/>
  <c r="M282" s="1"/>
  <c r="N283"/>
  <c r="N282" s="1"/>
  <c r="O283"/>
  <c r="O282" s="1"/>
  <c r="M280"/>
  <c r="M279" s="1"/>
  <c r="N280"/>
  <c r="N279" s="1"/>
  <c r="O280"/>
  <c r="O279" s="1"/>
  <c r="M277"/>
  <c r="M276" s="1"/>
  <c r="N277"/>
  <c r="N276" s="1"/>
  <c r="O277"/>
  <c r="O276" s="1"/>
  <c r="M274"/>
  <c r="M273" s="1"/>
  <c r="N274"/>
  <c r="N273" s="1"/>
  <c r="O274"/>
  <c r="O273" s="1"/>
  <c r="M267"/>
  <c r="M266" s="1"/>
  <c r="M265" s="1"/>
  <c r="N267"/>
  <c r="N266" s="1"/>
  <c r="N265" s="1"/>
  <c r="O267"/>
  <c r="O266" s="1"/>
  <c r="O265" s="1"/>
  <c r="M263"/>
  <c r="M262" s="1"/>
  <c r="M261" s="1"/>
  <c r="N263"/>
  <c r="N262" s="1"/>
  <c r="N261" s="1"/>
  <c r="O263"/>
  <c r="O262" s="1"/>
  <c r="O261" s="1"/>
  <c r="M259"/>
  <c r="M258" s="1"/>
  <c r="N259"/>
  <c r="N258" s="1"/>
  <c r="O259"/>
  <c r="O258" s="1"/>
  <c r="M256"/>
  <c r="M255" s="1"/>
  <c r="N256"/>
  <c r="N255" s="1"/>
  <c r="O256"/>
  <c r="O255" s="1"/>
  <c r="M253"/>
  <c r="M252" s="1"/>
  <c r="N253"/>
  <c r="N252" s="1"/>
  <c r="O253"/>
  <c r="O252" s="1"/>
  <c r="M247"/>
  <c r="M246" s="1"/>
  <c r="N247"/>
  <c r="N246" s="1"/>
  <c r="O247"/>
  <c r="O246" s="1"/>
  <c r="M244"/>
  <c r="N244"/>
  <c r="O244"/>
  <c r="M240"/>
  <c r="N240"/>
  <c r="O240"/>
  <c r="M233"/>
  <c r="M232" s="1"/>
  <c r="M231" s="1"/>
  <c r="N233"/>
  <c r="N232" s="1"/>
  <c r="N231" s="1"/>
  <c r="O233"/>
  <c r="O232" s="1"/>
  <c r="O231" s="1"/>
  <c r="M229"/>
  <c r="M228" s="1"/>
  <c r="M227" s="1"/>
  <c r="N229"/>
  <c r="N228" s="1"/>
  <c r="N227" s="1"/>
  <c r="O229"/>
  <c r="O228" s="1"/>
  <c r="O227" s="1"/>
  <c r="M225"/>
  <c r="M224" s="1"/>
  <c r="N225"/>
  <c r="N224" s="1"/>
  <c r="O225"/>
  <c r="O224" s="1"/>
  <c r="M222"/>
  <c r="M221" s="1"/>
  <c r="N222"/>
  <c r="N221" s="1"/>
  <c r="O222"/>
  <c r="O221" s="1"/>
  <c r="M219"/>
  <c r="M218" s="1"/>
  <c r="N219"/>
  <c r="N218" s="1"/>
  <c r="O219"/>
  <c r="O218" s="1"/>
  <c r="M216"/>
  <c r="M215" s="1"/>
  <c r="N216"/>
  <c r="N215" s="1"/>
  <c r="O216"/>
  <c r="O215" s="1"/>
  <c r="M210"/>
  <c r="M209" s="1"/>
  <c r="N210"/>
  <c r="N209" s="1"/>
  <c r="O210"/>
  <c r="O209" s="1"/>
  <c r="M207"/>
  <c r="M206" s="1"/>
  <c r="N207"/>
  <c r="N206" s="1"/>
  <c r="O207"/>
  <c r="O206" s="1"/>
  <c r="M204"/>
  <c r="M203" s="1"/>
  <c r="N204"/>
  <c r="N203" s="1"/>
  <c r="O204"/>
  <c r="O203" s="1"/>
  <c r="M197"/>
  <c r="M196" s="1"/>
  <c r="N197"/>
  <c r="N196" s="1"/>
  <c r="O197"/>
  <c r="O196" s="1"/>
  <c r="M194"/>
  <c r="M193" s="1"/>
  <c r="N194"/>
  <c r="N193" s="1"/>
  <c r="O194"/>
  <c r="O193" s="1"/>
  <c r="M188"/>
  <c r="M187" s="1"/>
  <c r="N188"/>
  <c r="N187" s="1"/>
  <c r="O188"/>
  <c r="O187" s="1"/>
  <c r="M185"/>
  <c r="M184" s="1"/>
  <c r="N185"/>
  <c r="N184" s="1"/>
  <c r="O185"/>
  <c r="O184" s="1"/>
  <c r="M170"/>
  <c r="N170"/>
  <c r="O170"/>
  <c r="M168"/>
  <c r="N168"/>
  <c r="O168"/>
  <c r="M165"/>
  <c r="N165"/>
  <c r="O165"/>
  <c r="M163"/>
  <c r="N163"/>
  <c r="O163"/>
  <c r="M156"/>
  <c r="M155" s="1"/>
  <c r="M154" s="1"/>
  <c r="M153" s="1"/>
  <c r="M152" s="1"/>
  <c r="N156"/>
  <c r="N155" s="1"/>
  <c r="N154" s="1"/>
  <c r="N153" s="1"/>
  <c r="N152" s="1"/>
  <c r="O156"/>
  <c r="O155" s="1"/>
  <c r="O154" s="1"/>
  <c r="O153" s="1"/>
  <c r="O152" s="1"/>
  <c r="M149"/>
  <c r="N149"/>
  <c r="O149"/>
  <c r="M147"/>
  <c r="N147"/>
  <c r="O147"/>
  <c r="M145"/>
  <c r="N145"/>
  <c r="O145"/>
  <c r="M139"/>
  <c r="M138" s="1"/>
  <c r="N139"/>
  <c r="N138" s="1"/>
  <c r="O139"/>
  <c r="O138" s="1"/>
  <c r="M136"/>
  <c r="M135" s="1"/>
  <c r="N136"/>
  <c r="N135" s="1"/>
  <c r="O136"/>
  <c r="O135" s="1"/>
  <c r="M132"/>
  <c r="M131" s="1"/>
  <c r="N132"/>
  <c r="N131" s="1"/>
  <c r="O132"/>
  <c r="O131" s="1"/>
  <c r="M129"/>
  <c r="M128" s="1"/>
  <c r="N129"/>
  <c r="N128" s="1"/>
  <c r="O129"/>
  <c r="O128" s="1"/>
  <c r="M126"/>
  <c r="M125" s="1"/>
  <c r="N126"/>
  <c r="N125" s="1"/>
  <c r="O126"/>
  <c r="O125" s="1"/>
  <c r="M120"/>
  <c r="M119" s="1"/>
  <c r="N120"/>
  <c r="N119" s="1"/>
  <c r="O120"/>
  <c r="O119" s="1"/>
  <c r="M117"/>
  <c r="M116" s="1"/>
  <c r="N117"/>
  <c r="N116" s="1"/>
  <c r="O117"/>
  <c r="O116" s="1"/>
  <c r="M114"/>
  <c r="M113" s="1"/>
  <c r="N114"/>
  <c r="N113" s="1"/>
  <c r="O114"/>
  <c r="O113" s="1"/>
  <c r="M111"/>
  <c r="M110" s="1"/>
  <c r="N111"/>
  <c r="N110" s="1"/>
  <c r="O111"/>
  <c r="O110" s="1"/>
  <c r="M98"/>
  <c r="M97" s="1"/>
  <c r="N98"/>
  <c r="N97" s="1"/>
  <c r="O98"/>
  <c r="O97" s="1"/>
  <c r="M86"/>
  <c r="M85" s="1"/>
  <c r="N86"/>
  <c r="N85" s="1"/>
  <c r="O86"/>
  <c r="O85" s="1"/>
  <c r="M83"/>
  <c r="M82" s="1"/>
  <c r="N83"/>
  <c r="N82" s="1"/>
  <c r="O83"/>
  <c r="O82" s="1"/>
  <c r="M80"/>
  <c r="M79" s="1"/>
  <c r="N80"/>
  <c r="N79" s="1"/>
  <c r="O80"/>
  <c r="O79" s="1"/>
  <c r="M77"/>
  <c r="M76" s="1"/>
  <c r="N77"/>
  <c r="N76" s="1"/>
  <c r="O77"/>
  <c r="O76" s="1"/>
  <c r="M74"/>
  <c r="M73" s="1"/>
  <c r="N74"/>
  <c r="N73" s="1"/>
  <c r="O74"/>
  <c r="O73" s="1"/>
  <c r="M63"/>
  <c r="M62" s="1"/>
  <c r="M61" s="1"/>
  <c r="M60" s="1"/>
  <c r="N63"/>
  <c r="N62" s="1"/>
  <c r="N61" s="1"/>
  <c r="N60" s="1"/>
  <c r="O63"/>
  <c r="O62" s="1"/>
  <c r="O61" s="1"/>
  <c r="O60" s="1"/>
  <c r="M57"/>
  <c r="M56" s="1"/>
  <c r="N57"/>
  <c r="N56" s="1"/>
  <c r="O57"/>
  <c r="O56" s="1"/>
  <c r="M51"/>
  <c r="M50" s="1"/>
  <c r="N51"/>
  <c r="N50" s="1"/>
  <c r="O51"/>
  <c r="O50" s="1"/>
  <c r="M48"/>
  <c r="N48"/>
  <c r="O48"/>
  <c r="M45"/>
  <c r="M44" s="1"/>
  <c r="N45"/>
  <c r="N44" s="1"/>
  <c r="O45"/>
  <c r="O44" s="1"/>
  <c r="M30"/>
  <c r="M29" s="1"/>
  <c r="M28" s="1"/>
  <c r="N30"/>
  <c r="N29" s="1"/>
  <c r="N28" s="1"/>
  <c r="O30"/>
  <c r="O29" s="1"/>
  <c r="O28" s="1"/>
  <c r="M26"/>
  <c r="M25" s="1"/>
  <c r="M24" s="1"/>
  <c r="N26"/>
  <c r="N25" s="1"/>
  <c r="N24" s="1"/>
  <c r="O26"/>
  <c r="O25" s="1"/>
  <c r="O24" s="1"/>
  <c r="M22"/>
  <c r="M21" s="1"/>
  <c r="M20" s="1"/>
  <c r="N22"/>
  <c r="N21" s="1"/>
  <c r="N20" s="1"/>
  <c r="O22"/>
  <c r="O21" s="1"/>
  <c r="O20" s="1"/>
  <c r="R1755"/>
  <c r="X1755" s="1"/>
  <c r="Q1755"/>
  <c r="W1755" s="1"/>
  <c r="P1755"/>
  <c r="V1755" s="1"/>
  <c r="R1751"/>
  <c r="X1751" s="1"/>
  <c r="Q1751"/>
  <c r="W1751" s="1"/>
  <c r="P1751"/>
  <c r="V1751" s="1"/>
  <c r="R1749"/>
  <c r="X1749" s="1"/>
  <c r="Q1749"/>
  <c r="W1749" s="1"/>
  <c r="P1749"/>
  <c r="V1749" s="1"/>
  <c r="R1739"/>
  <c r="X1739" s="1"/>
  <c r="Q1739"/>
  <c r="W1739" s="1"/>
  <c r="P1739"/>
  <c r="V1739" s="1"/>
  <c r="R1737"/>
  <c r="X1737" s="1"/>
  <c r="Q1737"/>
  <c r="W1737" s="1"/>
  <c r="P1737"/>
  <c r="V1737" s="1"/>
  <c r="R1734"/>
  <c r="X1734" s="1"/>
  <c r="Q1734"/>
  <c r="W1734" s="1"/>
  <c r="P1734"/>
  <c r="V1734" s="1"/>
  <c r="R429"/>
  <c r="X429" s="1"/>
  <c r="Q429"/>
  <c r="W429" s="1"/>
  <c r="P429"/>
  <c r="V429" s="1"/>
  <c r="R423"/>
  <c r="X423" s="1"/>
  <c r="Q423"/>
  <c r="W423" s="1"/>
  <c r="P423"/>
  <c r="V423" s="1"/>
  <c r="R417"/>
  <c r="X417" s="1"/>
  <c r="Q417"/>
  <c r="W417" s="1"/>
  <c r="P417"/>
  <c r="V417" s="1"/>
  <c r="R415"/>
  <c r="X415" s="1"/>
  <c r="Q415"/>
  <c r="W415" s="1"/>
  <c r="P415"/>
  <c r="V415" s="1"/>
  <c r="R409"/>
  <c r="X409" s="1"/>
  <c r="Q409"/>
  <c r="W409" s="1"/>
  <c r="P409"/>
  <c r="V409" s="1"/>
  <c r="R399"/>
  <c r="X399" s="1"/>
  <c r="Q399"/>
  <c r="W399" s="1"/>
  <c r="P399"/>
  <c r="V399" s="1"/>
  <c r="R393"/>
  <c r="X393" s="1"/>
  <c r="Q393"/>
  <c r="W393" s="1"/>
  <c r="P393"/>
  <c r="V393" s="1"/>
  <c r="R389"/>
  <c r="X389" s="1"/>
  <c r="Q389"/>
  <c r="W389" s="1"/>
  <c r="P389"/>
  <c r="V389" s="1"/>
  <c r="R381"/>
  <c r="X381" s="1"/>
  <c r="Q381"/>
  <c r="W381" s="1"/>
  <c r="P381"/>
  <c r="V381" s="1"/>
  <c r="R368"/>
  <c r="X368" s="1"/>
  <c r="Q368"/>
  <c r="W368" s="1"/>
  <c r="P368"/>
  <c r="V368" s="1"/>
  <c r="R365"/>
  <c r="X365" s="1"/>
  <c r="Q365"/>
  <c r="W365" s="1"/>
  <c r="P365"/>
  <c r="V365" s="1"/>
  <c r="R362"/>
  <c r="X362" s="1"/>
  <c r="Q362"/>
  <c r="W362" s="1"/>
  <c r="P362"/>
  <c r="V362" s="1"/>
  <c r="R360"/>
  <c r="X360" s="1"/>
  <c r="Q360"/>
  <c r="W360" s="1"/>
  <c r="P360"/>
  <c r="V360" s="1"/>
  <c r="R352"/>
  <c r="X352" s="1"/>
  <c r="Q352"/>
  <c r="W352" s="1"/>
  <c r="P352"/>
  <c r="V352" s="1"/>
  <c r="R347"/>
  <c r="X347" s="1"/>
  <c r="Q347"/>
  <c r="W347" s="1"/>
  <c r="P347"/>
  <c r="V347" s="1"/>
  <c r="R331"/>
  <c r="X331" s="1"/>
  <c r="Q331"/>
  <c r="W331" s="1"/>
  <c r="P331"/>
  <c r="V331" s="1"/>
  <c r="R320"/>
  <c r="X320" s="1"/>
  <c r="Q320"/>
  <c r="W320" s="1"/>
  <c r="P320"/>
  <c r="V320" s="1"/>
  <c r="R318"/>
  <c r="X318" s="1"/>
  <c r="Q318"/>
  <c r="W318" s="1"/>
  <c r="P318"/>
  <c r="V318" s="1"/>
  <c r="R314"/>
  <c r="X314" s="1"/>
  <c r="Q314"/>
  <c r="W314" s="1"/>
  <c r="P314"/>
  <c r="V314" s="1"/>
  <c r="R310"/>
  <c r="X310" s="1"/>
  <c r="Q310"/>
  <c r="W310" s="1"/>
  <c r="P310"/>
  <c r="V310" s="1"/>
  <c r="R309"/>
  <c r="X309" s="1"/>
  <c r="Q309"/>
  <c r="W309" s="1"/>
  <c r="P309"/>
  <c r="V309" s="1"/>
  <c r="R307"/>
  <c r="X307" s="1"/>
  <c r="Q307"/>
  <c r="W307" s="1"/>
  <c r="P307"/>
  <c r="V307" s="1"/>
  <c r="R300"/>
  <c r="X300" s="1"/>
  <c r="Q300"/>
  <c r="W300" s="1"/>
  <c r="P300"/>
  <c r="V300" s="1"/>
  <c r="R299"/>
  <c r="X299" s="1"/>
  <c r="Q299"/>
  <c r="W299" s="1"/>
  <c r="P299"/>
  <c r="V299" s="1"/>
  <c r="R297"/>
  <c r="X297" s="1"/>
  <c r="Q297"/>
  <c r="W297" s="1"/>
  <c r="P297"/>
  <c r="V297" s="1"/>
  <c r="R287"/>
  <c r="X287" s="1"/>
  <c r="Q287"/>
  <c r="W287" s="1"/>
  <c r="P287"/>
  <c r="V287" s="1"/>
  <c r="R284"/>
  <c r="X284" s="1"/>
  <c r="Q284"/>
  <c r="W284" s="1"/>
  <c r="P284"/>
  <c r="V284" s="1"/>
  <c r="R281"/>
  <c r="X281" s="1"/>
  <c r="Q281"/>
  <c r="W281" s="1"/>
  <c r="P281"/>
  <c r="V281" s="1"/>
  <c r="R278"/>
  <c r="X278" s="1"/>
  <c r="Q278"/>
  <c r="W278" s="1"/>
  <c r="P278"/>
  <c r="V278" s="1"/>
  <c r="R275"/>
  <c r="X275" s="1"/>
  <c r="Q275"/>
  <c r="W275" s="1"/>
  <c r="P275"/>
  <c r="V275" s="1"/>
  <c r="R268"/>
  <c r="X268" s="1"/>
  <c r="Q268"/>
  <c r="W268" s="1"/>
  <c r="P268"/>
  <c r="V268" s="1"/>
  <c r="R264"/>
  <c r="X264" s="1"/>
  <c r="Q264"/>
  <c r="W264" s="1"/>
  <c r="P264"/>
  <c r="V264" s="1"/>
  <c r="R260"/>
  <c r="X260" s="1"/>
  <c r="Q260"/>
  <c r="W260" s="1"/>
  <c r="P260"/>
  <c r="V260" s="1"/>
  <c r="R257"/>
  <c r="X257" s="1"/>
  <c r="Q257"/>
  <c r="W257" s="1"/>
  <c r="P257"/>
  <c r="V257" s="1"/>
  <c r="R254"/>
  <c r="X254" s="1"/>
  <c r="Q254"/>
  <c r="W254" s="1"/>
  <c r="P254"/>
  <c r="V254" s="1"/>
  <c r="R245"/>
  <c r="X245" s="1"/>
  <c r="Q245"/>
  <c r="W245" s="1"/>
  <c r="P245"/>
  <c r="V245" s="1"/>
  <c r="R243"/>
  <c r="X243" s="1"/>
  <c r="Q243"/>
  <c r="W243" s="1"/>
  <c r="P243"/>
  <c r="V243" s="1"/>
  <c r="R242"/>
  <c r="X242" s="1"/>
  <c r="Q242"/>
  <c r="W242" s="1"/>
  <c r="P242"/>
  <c r="V242" s="1"/>
  <c r="R241"/>
  <c r="X241" s="1"/>
  <c r="Q241"/>
  <c r="W241" s="1"/>
  <c r="R234"/>
  <c r="X234" s="1"/>
  <c r="Q234"/>
  <c r="W234" s="1"/>
  <c r="P234"/>
  <c r="V234" s="1"/>
  <c r="R230"/>
  <c r="X230" s="1"/>
  <c r="Q230"/>
  <c r="W230" s="1"/>
  <c r="P230"/>
  <c r="V230" s="1"/>
  <c r="R226"/>
  <c r="X226" s="1"/>
  <c r="Q226"/>
  <c r="W226" s="1"/>
  <c r="P226"/>
  <c r="V226" s="1"/>
  <c r="R223"/>
  <c r="X223" s="1"/>
  <c r="Q223"/>
  <c r="W223" s="1"/>
  <c r="P223"/>
  <c r="V223" s="1"/>
  <c r="R220"/>
  <c r="X220" s="1"/>
  <c r="Q220"/>
  <c r="W220" s="1"/>
  <c r="P220"/>
  <c r="V220" s="1"/>
  <c r="R217"/>
  <c r="X217" s="1"/>
  <c r="Q217"/>
  <c r="W217" s="1"/>
  <c r="P217"/>
  <c r="V217" s="1"/>
  <c r="R211"/>
  <c r="X211" s="1"/>
  <c r="Q211"/>
  <c r="W211" s="1"/>
  <c r="P211"/>
  <c r="V211" s="1"/>
  <c r="R208"/>
  <c r="X208" s="1"/>
  <c r="Q208"/>
  <c r="W208" s="1"/>
  <c r="P208"/>
  <c r="V208" s="1"/>
  <c r="R198"/>
  <c r="X198" s="1"/>
  <c r="Q198"/>
  <c r="W198" s="1"/>
  <c r="P198"/>
  <c r="V198" s="1"/>
  <c r="R195"/>
  <c r="X195" s="1"/>
  <c r="Q195"/>
  <c r="W195" s="1"/>
  <c r="P195"/>
  <c r="V195" s="1"/>
  <c r="R189"/>
  <c r="X189" s="1"/>
  <c r="Q189"/>
  <c r="W189" s="1"/>
  <c r="P189"/>
  <c r="V189" s="1"/>
  <c r="R171"/>
  <c r="X171" s="1"/>
  <c r="Q171"/>
  <c r="W171" s="1"/>
  <c r="P171"/>
  <c r="V171" s="1"/>
  <c r="R169"/>
  <c r="X169" s="1"/>
  <c r="Q169"/>
  <c r="W169" s="1"/>
  <c r="P169"/>
  <c r="V169" s="1"/>
  <c r="R166"/>
  <c r="X166" s="1"/>
  <c r="Q166"/>
  <c r="W166" s="1"/>
  <c r="P166"/>
  <c r="V166" s="1"/>
  <c r="R164"/>
  <c r="X164" s="1"/>
  <c r="Q164"/>
  <c r="W164" s="1"/>
  <c r="P164"/>
  <c r="V164" s="1"/>
  <c r="R157"/>
  <c r="X157" s="1"/>
  <c r="Q157"/>
  <c r="W157" s="1"/>
  <c r="P157"/>
  <c r="V157" s="1"/>
  <c r="R150"/>
  <c r="X150" s="1"/>
  <c r="Q150"/>
  <c r="W150" s="1"/>
  <c r="P150"/>
  <c r="V150" s="1"/>
  <c r="R148"/>
  <c r="X148" s="1"/>
  <c r="Q148"/>
  <c r="W148" s="1"/>
  <c r="P148"/>
  <c r="V148" s="1"/>
  <c r="R146"/>
  <c r="X146" s="1"/>
  <c r="Q146"/>
  <c r="W146" s="1"/>
  <c r="P146"/>
  <c r="V146" s="1"/>
  <c r="R140"/>
  <c r="X140" s="1"/>
  <c r="Q140"/>
  <c r="W140" s="1"/>
  <c r="P140"/>
  <c r="V140" s="1"/>
  <c r="R133"/>
  <c r="X133" s="1"/>
  <c r="R130"/>
  <c r="X130" s="1"/>
  <c r="Q130"/>
  <c r="W130" s="1"/>
  <c r="P130"/>
  <c r="V130" s="1"/>
  <c r="R127"/>
  <c r="X127" s="1"/>
  <c r="Q127"/>
  <c r="W127" s="1"/>
  <c r="P127"/>
  <c r="V127" s="1"/>
  <c r="R121"/>
  <c r="X121" s="1"/>
  <c r="Q121"/>
  <c r="W121" s="1"/>
  <c r="P121"/>
  <c r="V121" s="1"/>
  <c r="R118"/>
  <c r="X118" s="1"/>
  <c r="Q118"/>
  <c r="W118" s="1"/>
  <c r="P118"/>
  <c r="V118" s="1"/>
  <c r="R112"/>
  <c r="X112" s="1"/>
  <c r="Q112"/>
  <c r="W112" s="1"/>
  <c r="P112"/>
  <c r="V112" s="1"/>
  <c r="R99"/>
  <c r="X99" s="1"/>
  <c r="Q99"/>
  <c r="W99" s="1"/>
  <c r="P99"/>
  <c r="V99" s="1"/>
  <c r="R87"/>
  <c r="X87" s="1"/>
  <c r="Q87"/>
  <c r="W87" s="1"/>
  <c r="P87"/>
  <c r="V87" s="1"/>
  <c r="R84"/>
  <c r="X84" s="1"/>
  <c r="Q84"/>
  <c r="W84" s="1"/>
  <c r="P84"/>
  <c r="V84" s="1"/>
  <c r="R78"/>
  <c r="X78" s="1"/>
  <c r="Q78"/>
  <c r="W78" s="1"/>
  <c r="P78"/>
  <c r="V78" s="1"/>
  <c r="R75"/>
  <c r="X75" s="1"/>
  <c r="Q75"/>
  <c r="W75" s="1"/>
  <c r="R64"/>
  <c r="X64" s="1"/>
  <c r="Q64"/>
  <c r="W64" s="1"/>
  <c r="P64"/>
  <c r="V64" s="1"/>
  <c r="R58"/>
  <c r="X58" s="1"/>
  <c r="Q58"/>
  <c r="W58" s="1"/>
  <c r="P58"/>
  <c r="V58" s="1"/>
  <c r="R49"/>
  <c r="X49" s="1"/>
  <c r="Q49"/>
  <c r="W49" s="1"/>
  <c r="P49"/>
  <c r="V49" s="1"/>
  <c r="R46"/>
  <c r="X46" s="1"/>
  <c r="Q46"/>
  <c r="W46" s="1"/>
  <c r="P46"/>
  <c r="V46" s="1"/>
  <c r="R31"/>
  <c r="X31" s="1"/>
  <c r="Q31"/>
  <c r="W31" s="1"/>
  <c r="P31"/>
  <c r="V31" s="1"/>
  <c r="R23"/>
  <c r="X23" s="1"/>
  <c r="Q23"/>
  <c r="W23" s="1"/>
  <c r="P23"/>
  <c r="V23" s="1"/>
  <c r="M83" i="6" l="1"/>
  <c r="U1756" i="5"/>
  <c r="T1756"/>
  <c r="N316"/>
  <c r="N315" s="1"/>
  <c r="M413"/>
  <c r="M412" s="1"/>
  <c r="M411" s="1"/>
  <c r="M410" s="1"/>
  <c r="M316"/>
  <c r="M315" s="1"/>
  <c r="O316"/>
  <c r="O315" s="1"/>
  <c r="M1747"/>
  <c r="M1746" s="1"/>
  <c r="M1745" s="1"/>
  <c r="M1744" s="1"/>
  <c r="M1743" s="1"/>
  <c r="M295"/>
  <c r="M294" s="1"/>
  <c r="N413"/>
  <c r="N412" s="1"/>
  <c r="N411" s="1"/>
  <c r="N410" s="1"/>
  <c r="N426"/>
  <c r="N425" s="1"/>
  <c r="M426"/>
  <c r="M425" s="1"/>
  <c r="O426"/>
  <c r="O425" s="1"/>
  <c r="N162"/>
  <c r="M239"/>
  <c r="O295"/>
  <c r="O294" s="1"/>
  <c r="O358"/>
  <c r="O357" s="1"/>
  <c r="O356" s="1"/>
  <c r="O355" s="1"/>
  <c r="O239"/>
  <c r="O332"/>
  <c r="O324" s="1"/>
  <c r="O323" s="1"/>
  <c r="I69" i="6" s="1"/>
  <c r="M162" i="5"/>
  <c r="N305"/>
  <c r="N304" s="1"/>
  <c r="N167"/>
  <c r="M305"/>
  <c r="M304" s="1"/>
  <c r="M348"/>
  <c r="M344" s="1"/>
  <c r="M343" s="1"/>
  <c r="G70" i="6" s="1"/>
  <c r="M1735" i="5"/>
  <c r="O1747"/>
  <c r="O1746" s="1"/>
  <c r="O1745" s="1"/>
  <c r="O1744" s="1"/>
  <c r="O1743" s="1"/>
  <c r="M144"/>
  <c r="M143" s="1"/>
  <c r="M142" s="1"/>
  <c r="G61" i="6" s="1"/>
  <c r="N348" i="5"/>
  <c r="N344" s="1"/>
  <c r="N343" s="1"/>
  <c r="H70" i="6" s="1"/>
  <c r="N1735" i="5"/>
  <c r="N1731" s="1"/>
  <c r="N1730" s="1"/>
  <c r="H19" i="6" s="1"/>
  <c r="M167" i="5"/>
  <c r="M161" s="1"/>
  <c r="M160" s="1"/>
  <c r="N239"/>
  <c r="N238" s="1"/>
  <c r="N237" s="1"/>
  <c r="N236" s="1"/>
  <c r="N358"/>
  <c r="H27" i="6"/>
  <c r="N1747" i="5"/>
  <c r="N1746" s="1"/>
  <c r="N1745" s="1"/>
  <c r="N1744" s="1"/>
  <c r="N1743" s="1"/>
  <c r="N332"/>
  <c r="N324" s="1"/>
  <c r="N323" s="1"/>
  <c r="H69" i="6" s="1"/>
  <c r="M332" i="5"/>
  <c r="M324" s="1"/>
  <c r="M323" s="1"/>
  <c r="G69" i="6" s="1"/>
  <c r="H80"/>
  <c r="I80"/>
  <c r="M69" i="5"/>
  <c r="N295"/>
  <c r="N294" s="1"/>
  <c r="M358"/>
  <c r="M357" s="1"/>
  <c r="M356" s="1"/>
  <c r="M355" s="1"/>
  <c r="O167"/>
  <c r="N144"/>
  <c r="N143" s="1"/>
  <c r="N142" s="1"/>
  <c r="H61" i="6" s="1"/>
  <c r="O162" i="5"/>
  <c r="O305"/>
  <c r="O304" s="1"/>
  <c r="O293" s="1"/>
  <c r="O292" s="1"/>
  <c r="I57" i="6" s="1"/>
  <c r="O1735" i="5"/>
  <c r="O1731" s="1"/>
  <c r="O1730" s="1"/>
  <c r="G80" i="6"/>
  <c r="N134" i="5"/>
  <c r="O69"/>
  <c r="N69"/>
  <c r="O134"/>
  <c r="M370"/>
  <c r="O370"/>
  <c r="N370"/>
  <c r="O390"/>
  <c r="O384" s="1"/>
  <c r="I43" i="6" s="1"/>
  <c r="N390" i="5"/>
  <c r="N384" s="1"/>
  <c r="H43" i="6" s="1"/>
  <c r="O43" i="5"/>
  <c r="O42" s="1"/>
  <c r="O41" s="1"/>
  <c r="O183"/>
  <c r="O182" s="1"/>
  <c r="O181" s="1"/>
  <c r="I53" i="6" s="1"/>
  <c r="O348" i="5"/>
  <c r="O344" s="1"/>
  <c r="O343" s="1"/>
  <c r="I70" i="6" s="1"/>
  <c r="G27"/>
  <c r="M1731" i="5"/>
  <c r="M1730" s="1"/>
  <c r="I63" i="6"/>
  <c r="G63"/>
  <c r="H63"/>
  <c r="O413" i="5"/>
  <c r="O412" s="1"/>
  <c r="O411" s="1"/>
  <c r="O410" s="1"/>
  <c r="M390"/>
  <c r="M384" s="1"/>
  <c r="G43" i="6" s="1"/>
  <c r="N357" i="5"/>
  <c r="N356" s="1"/>
  <c r="N355" s="1"/>
  <c r="N272"/>
  <c r="N271" s="1"/>
  <c r="N270" s="1"/>
  <c r="H56" i="6" s="1"/>
  <c r="M272" i="5"/>
  <c r="M271" s="1"/>
  <c r="M270" s="1"/>
  <c r="G56" i="6" s="1"/>
  <c r="O272" i="5"/>
  <c r="O271" s="1"/>
  <c r="O270" s="1"/>
  <c r="I56" i="6" s="1"/>
  <c r="M238" i="5"/>
  <c r="M237" s="1"/>
  <c r="M236" s="1"/>
  <c r="O238"/>
  <c r="O237" s="1"/>
  <c r="O236" s="1"/>
  <c r="N202"/>
  <c r="N201" s="1"/>
  <c r="N200" s="1"/>
  <c r="H54" i="6" s="1"/>
  <c r="M202" i="5"/>
  <c r="M201" s="1"/>
  <c r="M200" s="1"/>
  <c r="G54" i="6" s="1"/>
  <c r="O202" i="5"/>
  <c r="O201" s="1"/>
  <c r="O200" s="1"/>
  <c r="I54" i="6" s="1"/>
  <c r="N183" i="5"/>
  <c r="N182" s="1"/>
  <c r="N181" s="1"/>
  <c r="H53" i="6" s="1"/>
  <c r="M183" i="5"/>
  <c r="M182" s="1"/>
  <c r="M181" s="1"/>
  <c r="G53" i="6" s="1"/>
  <c r="O144" i="5"/>
  <c r="O143" s="1"/>
  <c r="O142" s="1"/>
  <c r="I61" i="6" s="1"/>
  <c r="M134" i="5"/>
  <c r="M106"/>
  <c r="O106"/>
  <c r="N106"/>
  <c r="M43"/>
  <c r="M42" s="1"/>
  <c r="M41" s="1"/>
  <c r="N43"/>
  <c r="N42" s="1"/>
  <c r="N41" s="1"/>
  <c r="O19"/>
  <c r="M19"/>
  <c r="N19"/>
  <c r="R396"/>
  <c r="X396" s="1"/>
  <c r="Q396"/>
  <c r="W396" s="1"/>
  <c r="P396"/>
  <c r="V396" s="1"/>
  <c r="N161" l="1"/>
  <c r="N160" s="1"/>
  <c r="G25" i="6"/>
  <c r="I25"/>
  <c r="H25"/>
  <c r="M408" i="5"/>
  <c r="M407" s="1"/>
  <c r="G22" i="6"/>
  <c r="M293" i="5"/>
  <c r="M292" s="1"/>
  <c r="G57" i="6" s="1"/>
  <c r="N1729" i="5"/>
  <c r="N1728" s="1"/>
  <c r="N408"/>
  <c r="N407" s="1"/>
  <c r="O161"/>
  <c r="O160" s="1"/>
  <c r="O159" s="1"/>
  <c r="H22" i="6"/>
  <c r="H36"/>
  <c r="N293" i="5"/>
  <c r="N292" s="1"/>
  <c r="H57" i="6" s="1"/>
  <c r="I36"/>
  <c r="G36"/>
  <c r="N159" i="5"/>
  <c r="H73" i="6"/>
  <c r="H72" s="1"/>
  <c r="M1729" i="5"/>
  <c r="M1728" s="1"/>
  <c r="G19" i="6"/>
  <c r="I55"/>
  <c r="I52" s="1"/>
  <c r="O1729" i="5"/>
  <c r="O1728" s="1"/>
  <c r="I19" i="6"/>
  <c r="G48"/>
  <c r="I48"/>
  <c r="H48"/>
  <c r="N383" i="5"/>
  <c r="N354" s="1"/>
  <c r="O383"/>
  <c r="O354" s="1"/>
  <c r="O18"/>
  <c r="N40"/>
  <c r="H55" i="6"/>
  <c r="M159" i="5"/>
  <c r="G73" i="6"/>
  <c r="G72" s="1"/>
  <c r="O322" i="5"/>
  <c r="O408"/>
  <c r="O407" s="1"/>
  <c r="I22" i="6"/>
  <c r="G30"/>
  <c r="N18" i="5"/>
  <c r="M40"/>
  <c r="G55" i="6"/>
  <c r="G52" s="1"/>
  <c r="M322" i="5"/>
  <c r="I30" i="6"/>
  <c r="O40" i="5"/>
  <c r="H30" i="6"/>
  <c r="N322" i="5"/>
  <c r="M383"/>
  <c r="M354" s="1"/>
  <c r="I27" i="6"/>
  <c r="M68" i="5"/>
  <c r="M67" s="1"/>
  <c r="M18"/>
  <c r="O180"/>
  <c r="N68"/>
  <c r="N67" s="1"/>
  <c r="O68"/>
  <c r="O67" s="1"/>
  <c r="F82" i="6"/>
  <c r="L82" s="1"/>
  <c r="R82" s="1"/>
  <c r="E82"/>
  <c r="K82" s="1"/>
  <c r="Q82" s="1"/>
  <c r="M180" i="5" l="1"/>
  <c r="M179" s="1"/>
  <c r="G66" i="6"/>
  <c r="I73"/>
  <c r="I72" s="1"/>
  <c r="I42"/>
  <c r="H17"/>
  <c r="N180" i="5"/>
  <c r="N179" s="1"/>
  <c r="H52" i="6"/>
  <c r="I66"/>
  <c r="G42"/>
  <c r="H66"/>
  <c r="O179" i="5"/>
  <c r="H42" i="6"/>
  <c r="I17"/>
  <c r="O66" i="5"/>
  <c r="O17" s="1"/>
  <c r="I60" i="6"/>
  <c r="I59" s="1"/>
  <c r="N66" i="5"/>
  <c r="N17" s="1"/>
  <c r="H60" i="6"/>
  <c r="H59" s="1"/>
  <c r="M66" i="5"/>
  <c r="M17" s="1"/>
  <c r="G60" i="6"/>
  <c r="G59" s="1"/>
  <c r="G17"/>
  <c r="J1768" i="5"/>
  <c r="L1765"/>
  <c r="L1768" s="1"/>
  <c r="K1765"/>
  <c r="K1768" s="1"/>
  <c r="O1756" l="1"/>
  <c r="M1756"/>
  <c r="N1756"/>
  <c r="I83" i="6"/>
  <c r="H83"/>
  <c r="G83"/>
  <c r="K398" i="5" l="1"/>
  <c r="L398"/>
  <c r="J398"/>
  <c r="K392"/>
  <c r="L392"/>
  <c r="J392"/>
  <c r="K388"/>
  <c r="L388"/>
  <c r="J388"/>
  <c r="K364"/>
  <c r="L364"/>
  <c r="J364"/>
  <c r="K363" l="1"/>
  <c r="Q363" s="1"/>
  <c r="W363" s="1"/>
  <c r="Q364"/>
  <c r="W364" s="1"/>
  <c r="L397"/>
  <c r="R397" s="1"/>
  <c r="X397" s="1"/>
  <c r="R398"/>
  <c r="X398" s="1"/>
  <c r="L391"/>
  <c r="R391" s="1"/>
  <c r="X391" s="1"/>
  <c r="R392"/>
  <c r="X392" s="1"/>
  <c r="L387"/>
  <c r="R388"/>
  <c r="X388" s="1"/>
  <c r="J391"/>
  <c r="P391" s="1"/>
  <c r="V391" s="1"/>
  <c r="P392"/>
  <c r="V392" s="1"/>
  <c r="J387"/>
  <c r="P388"/>
  <c r="V388" s="1"/>
  <c r="K397"/>
  <c r="Q397" s="1"/>
  <c r="W397" s="1"/>
  <c r="Q398"/>
  <c r="W398" s="1"/>
  <c r="J363"/>
  <c r="P363" s="1"/>
  <c r="V363" s="1"/>
  <c r="P364"/>
  <c r="V364" s="1"/>
  <c r="K391"/>
  <c r="Q391" s="1"/>
  <c r="W391" s="1"/>
  <c r="Q392"/>
  <c r="W392" s="1"/>
  <c r="L363"/>
  <c r="R363" s="1"/>
  <c r="X363" s="1"/>
  <c r="R364"/>
  <c r="X364" s="1"/>
  <c r="K387"/>
  <c r="Q388"/>
  <c r="W388" s="1"/>
  <c r="J397"/>
  <c r="P397" s="1"/>
  <c r="V397" s="1"/>
  <c r="P398"/>
  <c r="V398" s="1"/>
  <c r="L341"/>
  <c r="R341" s="1"/>
  <c r="X341" s="1"/>
  <c r="K341"/>
  <c r="Q341" s="1"/>
  <c r="W341" s="1"/>
  <c r="J341"/>
  <c r="P341" s="1"/>
  <c r="V341" s="1"/>
  <c r="L338"/>
  <c r="R338" s="1"/>
  <c r="X338" s="1"/>
  <c r="K338"/>
  <c r="Q338" s="1"/>
  <c r="W338" s="1"/>
  <c r="J338"/>
  <c r="P338" s="1"/>
  <c r="V338" s="1"/>
  <c r="L248"/>
  <c r="R248" s="1"/>
  <c r="X248" s="1"/>
  <c r="K248"/>
  <c r="Q248" s="1"/>
  <c r="W248" s="1"/>
  <c r="J248"/>
  <c r="P248" s="1"/>
  <c r="V248" s="1"/>
  <c r="J241"/>
  <c r="P241" s="1"/>
  <c r="V241" s="1"/>
  <c r="L205"/>
  <c r="R205" s="1"/>
  <c r="X205" s="1"/>
  <c r="K205"/>
  <c r="Q205" s="1"/>
  <c r="W205" s="1"/>
  <c r="J205"/>
  <c r="P205" s="1"/>
  <c r="V205" s="1"/>
  <c r="L186"/>
  <c r="R186" s="1"/>
  <c r="X186" s="1"/>
  <c r="K186"/>
  <c r="Q186" s="1"/>
  <c r="W186" s="1"/>
  <c r="J186"/>
  <c r="P186" s="1"/>
  <c r="V186" s="1"/>
  <c r="J386" l="1"/>
  <c r="P387"/>
  <c r="V387" s="1"/>
  <c r="L386"/>
  <c r="R387"/>
  <c r="X387" s="1"/>
  <c r="K386"/>
  <c r="Q387"/>
  <c r="W387" s="1"/>
  <c r="K156"/>
  <c r="L156"/>
  <c r="J156"/>
  <c r="L155" l="1"/>
  <c r="R156"/>
  <c r="X156" s="1"/>
  <c r="K155"/>
  <c r="Q156"/>
  <c r="W156" s="1"/>
  <c r="L385"/>
  <c r="R385" s="1"/>
  <c r="X385" s="1"/>
  <c r="R386"/>
  <c r="X386" s="1"/>
  <c r="J155"/>
  <c r="P156"/>
  <c r="V156" s="1"/>
  <c r="K385"/>
  <c r="Q385" s="1"/>
  <c r="W385" s="1"/>
  <c r="Q386"/>
  <c r="W386" s="1"/>
  <c r="J385"/>
  <c r="P385" s="1"/>
  <c r="V385" s="1"/>
  <c r="P386"/>
  <c r="V386" s="1"/>
  <c r="L137"/>
  <c r="R137" s="1"/>
  <c r="X137" s="1"/>
  <c r="K137"/>
  <c r="Q137" s="1"/>
  <c r="W137" s="1"/>
  <c r="J137"/>
  <c r="P137" s="1"/>
  <c r="V137" s="1"/>
  <c r="L154" l="1"/>
  <c r="R155"/>
  <c r="X155" s="1"/>
  <c r="J154"/>
  <c r="P155"/>
  <c r="V155" s="1"/>
  <c r="K154"/>
  <c r="Q155"/>
  <c r="W155" s="1"/>
  <c r="K133"/>
  <c r="Q133" s="1"/>
  <c r="W133" s="1"/>
  <c r="J133"/>
  <c r="P133" s="1"/>
  <c r="V133" s="1"/>
  <c r="L115"/>
  <c r="R115" s="1"/>
  <c r="X115" s="1"/>
  <c r="K115"/>
  <c r="Q115" s="1"/>
  <c r="W115" s="1"/>
  <c r="J115"/>
  <c r="P115" s="1"/>
  <c r="V115" s="1"/>
  <c r="J75"/>
  <c r="P75" s="1"/>
  <c r="V75" s="1"/>
  <c r="J153" l="1"/>
  <c r="P154"/>
  <c r="V154" s="1"/>
  <c r="K153"/>
  <c r="Q154"/>
  <c r="W154" s="1"/>
  <c r="L153"/>
  <c r="R154"/>
  <c r="X154" s="1"/>
  <c r="L81"/>
  <c r="R81" s="1"/>
  <c r="X81" s="1"/>
  <c r="K81"/>
  <c r="Q81" s="1"/>
  <c r="W81" s="1"/>
  <c r="J81"/>
  <c r="P81" s="1"/>
  <c r="V81" s="1"/>
  <c r="K152" l="1"/>
  <c r="Q152" s="1"/>
  <c r="W152" s="1"/>
  <c r="Q153"/>
  <c r="W153" s="1"/>
  <c r="L152"/>
  <c r="R152" s="1"/>
  <c r="X152" s="1"/>
  <c r="R153"/>
  <c r="X153" s="1"/>
  <c r="J152"/>
  <c r="P152" s="1"/>
  <c r="V152" s="1"/>
  <c r="P153"/>
  <c r="V153" s="1"/>
  <c r="L52"/>
  <c r="R52" s="1"/>
  <c r="X52" s="1"/>
  <c r="K52"/>
  <c r="Q52" s="1"/>
  <c r="W52" s="1"/>
  <c r="J52"/>
  <c r="P52" s="1"/>
  <c r="V52" s="1"/>
  <c r="K30"/>
  <c r="L30"/>
  <c r="J30"/>
  <c r="L27"/>
  <c r="K27"/>
  <c r="J27"/>
  <c r="J29" l="1"/>
  <c r="P30"/>
  <c r="V30" s="1"/>
  <c r="J26"/>
  <c r="P27"/>
  <c r="V27" s="1"/>
  <c r="L29"/>
  <c r="R30"/>
  <c r="X30" s="1"/>
  <c r="K26"/>
  <c r="Q27"/>
  <c r="W27" s="1"/>
  <c r="K29"/>
  <c r="Q30"/>
  <c r="W30" s="1"/>
  <c r="L26"/>
  <c r="R27"/>
  <c r="X27" s="1"/>
  <c r="L350"/>
  <c r="R350" s="1"/>
  <c r="X350" s="1"/>
  <c r="K350"/>
  <c r="Q350" s="1"/>
  <c r="W350" s="1"/>
  <c r="J350"/>
  <c r="P350" s="1"/>
  <c r="V350" s="1"/>
  <c r="L25" l="1"/>
  <c r="R26"/>
  <c r="X26" s="1"/>
  <c r="K25"/>
  <c r="Q26"/>
  <c r="W26" s="1"/>
  <c r="J25"/>
  <c r="P26"/>
  <c r="V26" s="1"/>
  <c r="K28"/>
  <c r="Q28" s="1"/>
  <c r="W28" s="1"/>
  <c r="Q29"/>
  <c r="W29" s="1"/>
  <c r="L28"/>
  <c r="R28" s="1"/>
  <c r="X28" s="1"/>
  <c r="R29"/>
  <c r="X29" s="1"/>
  <c r="J28"/>
  <c r="P28" s="1"/>
  <c r="V28" s="1"/>
  <c r="P29"/>
  <c r="V29" s="1"/>
  <c r="K98"/>
  <c r="L98"/>
  <c r="J98"/>
  <c r="K24" l="1"/>
  <c r="Q24" s="1"/>
  <c r="W24" s="1"/>
  <c r="Q25"/>
  <c r="W25" s="1"/>
  <c r="L97"/>
  <c r="R97" s="1"/>
  <c r="X97" s="1"/>
  <c r="R98"/>
  <c r="X98" s="1"/>
  <c r="K97"/>
  <c r="Q97" s="1"/>
  <c r="W97" s="1"/>
  <c r="Q98"/>
  <c r="W98" s="1"/>
  <c r="J97"/>
  <c r="P97" s="1"/>
  <c r="V97" s="1"/>
  <c r="P98"/>
  <c r="V98" s="1"/>
  <c r="J24"/>
  <c r="P24" s="1"/>
  <c r="V24" s="1"/>
  <c r="P25"/>
  <c r="V25" s="1"/>
  <c r="L24"/>
  <c r="R24" s="1"/>
  <c r="X24" s="1"/>
  <c r="R25"/>
  <c r="X25" s="1"/>
  <c r="L308"/>
  <c r="R308" s="1"/>
  <c r="X308" s="1"/>
  <c r="K308"/>
  <c r="Q308" s="1"/>
  <c r="W308" s="1"/>
  <c r="J308"/>
  <c r="P308" s="1"/>
  <c r="V308" s="1"/>
  <c r="L306"/>
  <c r="R306" s="1"/>
  <c r="X306" s="1"/>
  <c r="K306"/>
  <c r="Q306" s="1"/>
  <c r="W306" s="1"/>
  <c r="J306"/>
  <c r="P306" s="1"/>
  <c r="V306" s="1"/>
  <c r="L298"/>
  <c r="R298" s="1"/>
  <c r="X298" s="1"/>
  <c r="K298"/>
  <c r="Q298" s="1"/>
  <c r="W298" s="1"/>
  <c r="J298"/>
  <c r="P298" s="1"/>
  <c r="V298" s="1"/>
  <c r="L296"/>
  <c r="R296" s="1"/>
  <c r="X296" s="1"/>
  <c r="K296"/>
  <c r="Q296" s="1"/>
  <c r="W296" s="1"/>
  <c r="J296"/>
  <c r="P296" s="1"/>
  <c r="V296" s="1"/>
  <c r="L286"/>
  <c r="R286" s="1"/>
  <c r="X286" s="1"/>
  <c r="K286"/>
  <c r="Q286" s="1"/>
  <c r="W286" s="1"/>
  <c r="J286"/>
  <c r="P286" s="1"/>
  <c r="V286" s="1"/>
  <c r="K129"/>
  <c r="L129"/>
  <c r="J129"/>
  <c r="L128" l="1"/>
  <c r="R128" s="1"/>
  <c r="X128" s="1"/>
  <c r="R129"/>
  <c r="X129" s="1"/>
  <c r="K128"/>
  <c r="Q128" s="1"/>
  <c r="W128" s="1"/>
  <c r="Q129"/>
  <c r="W129" s="1"/>
  <c r="J128"/>
  <c r="P128" s="1"/>
  <c r="V128" s="1"/>
  <c r="P129"/>
  <c r="V129" s="1"/>
  <c r="K305"/>
  <c r="K295"/>
  <c r="Q295" s="1"/>
  <c r="W295" s="1"/>
  <c r="J305"/>
  <c r="L305"/>
  <c r="J295"/>
  <c r="P295" s="1"/>
  <c r="V295" s="1"/>
  <c r="L295"/>
  <c r="R295" s="1"/>
  <c r="X295" s="1"/>
  <c r="K304" l="1"/>
  <c r="Q304" s="1"/>
  <c r="W304" s="1"/>
  <c r="Q305"/>
  <c r="W305" s="1"/>
  <c r="J304"/>
  <c r="P304" s="1"/>
  <c r="V304" s="1"/>
  <c r="P305"/>
  <c r="V305" s="1"/>
  <c r="L304"/>
  <c r="R304" s="1"/>
  <c r="X304" s="1"/>
  <c r="R305"/>
  <c r="X305" s="1"/>
  <c r="E77" i="6" l="1"/>
  <c r="K77" s="1"/>
  <c r="Q77" s="1"/>
  <c r="F77"/>
  <c r="L77" s="1"/>
  <c r="R77" s="1"/>
  <c r="L428" i="5"/>
  <c r="K428"/>
  <c r="L422"/>
  <c r="K422"/>
  <c r="L416"/>
  <c r="R416" s="1"/>
  <c r="X416" s="1"/>
  <c r="K416"/>
  <c r="Q416" s="1"/>
  <c r="W416" s="1"/>
  <c r="L414"/>
  <c r="R414" s="1"/>
  <c r="X414" s="1"/>
  <c r="K414"/>
  <c r="Q414" s="1"/>
  <c r="W414" s="1"/>
  <c r="L367"/>
  <c r="K367"/>
  <c r="L1738"/>
  <c r="R1738" s="1"/>
  <c r="X1738" s="1"/>
  <c r="K1738"/>
  <c r="Q1738" s="1"/>
  <c r="W1738" s="1"/>
  <c r="L1736"/>
  <c r="R1736" s="1"/>
  <c r="X1736" s="1"/>
  <c r="K1736"/>
  <c r="Q1736" s="1"/>
  <c r="W1736" s="1"/>
  <c r="L1733"/>
  <c r="K1733"/>
  <c r="L1750"/>
  <c r="R1750" s="1"/>
  <c r="X1750" s="1"/>
  <c r="K1750"/>
  <c r="Q1750" s="1"/>
  <c r="W1750" s="1"/>
  <c r="L1748"/>
  <c r="R1748" s="1"/>
  <c r="X1748" s="1"/>
  <c r="K1748"/>
  <c r="Q1748" s="1"/>
  <c r="W1748" s="1"/>
  <c r="L395"/>
  <c r="K395"/>
  <c r="L380"/>
  <c r="K380"/>
  <c r="L361"/>
  <c r="R361" s="1"/>
  <c r="X361" s="1"/>
  <c r="K361"/>
  <c r="Q361" s="1"/>
  <c r="W361" s="1"/>
  <c r="L359"/>
  <c r="R359" s="1"/>
  <c r="X359" s="1"/>
  <c r="K359"/>
  <c r="Q359" s="1"/>
  <c r="W359" s="1"/>
  <c r="L351"/>
  <c r="R351" s="1"/>
  <c r="X351" s="1"/>
  <c r="K351"/>
  <c r="Q351" s="1"/>
  <c r="W351" s="1"/>
  <c r="L349"/>
  <c r="R349" s="1"/>
  <c r="X349" s="1"/>
  <c r="K349"/>
  <c r="Q349" s="1"/>
  <c r="W349" s="1"/>
  <c r="L346"/>
  <c r="K346"/>
  <c r="L340"/>
  <c r="K340"/>
  <c r="L337"/>
  <c r="K337"/>
  <c r="L330"/>
  <c r="K330"/>
  <c r="L319"/>
  <c r="R319" s="1"/>
  <c r="X319" s="1"/>
  <c r="K319"/>
  <c r="Q319" s="1"/>
  <c r="W319" s="1"/>
  <c r="L317"/>
  <c r="R317" s="1"/>
  <c r="X317" s="1"/>
  <c r="K317"/>
  <c r="Q317" s="1"/>
  <c r="W317" s="1"/>
  <c r="L313"/>
  <c r="K313"/>
  <c r="L285"/>
  <c r="R285" s="1"/>
  <c r="X285" s="1"/>
  <c r="K285"/>
  <c r="Q285" s="1"/>
  <c r="W285" s="1"/>
  <c r="L283"/>
  <c r="K283"/>
  <c r="L280"/>
  <c r="K280"/>
  <c r="L277"/>
  <c r="K277"/>
  <c r="L274"/>
  <c r="K274"/>
  <c r="L267"/>
  <c r="K267"/>
  <c r="L263"/>
  <c r="K263"/>
  <c r="L259"/>
  <c r="K259"/>
  <c r="L256"/>
  <c r="K256"/>
  <c r="L253"/>
  <c r="K253"/>
  <c r="L247"/>
  <c r="K247"/>
  <c r="L244"/>
  <c r="R244" s="1"/>
  <c r="X244" s="1"/>
  <c r="K244"/>
  <c r="Q244" s="1"/>
  <c r="W244" s="1"/>
  <c r="L240"/>
  <c r="R240" s="1"/>
  <c r="X240" s="1"/>
  <c r="K240"/>
  <c r="Q240" s="1"/>
  <c r="W240" s="1"/>
  <c r="L233"/>
  <c r="K233"/>
  <c r="L229"/>
  <c r="K229"/>
  <c r="L225"/>
  <c r="K225"/>
  <c r="L222"/>
  <c r="K222"/>
  <c r="L219"/>
  <c r="K219"/>
  <c r="L216"/>
  <c r="K216"/>
  <c r="L210"/>
  <c r="K210"/>
  <c r="L207"/>
  <c r="K207"/>
  <c r="L204"/>
  <c r="K204"/>
  <c r="L197"/>
  <c r="K197"/>
  <c r="L194"/>
  <c r="K194"/>
  <c r="L188"/>
  <c r="K188"/>
  <c r="L185"/>
  <c r="K185"/>
  <c r="L170"/>
  <c r="R170" s="1"/>
  <c r="X170" s="1"/>
  <c r="K170"/>
  <c r="Q170" s="1"/>
  <c r="W170" s="1"/>
  <c r="L168"/>
  <c r="R168" s="1"/>
  <c r="X168" s="1"/>
  <c r="K168"/>
  <c r="Q168" s="1"/>
  <c r="W168" s="1"/>
  <c r="L165"/>
  <c r="R165" s="1"/>
  <c r="X165" s="1"/>
  <c r="K165"/>
  <c r="Q165" s="1"/>
  <c r="W165" s="1"/>
  <c r="L163"/>
  <c r="R163" s="1"/>
  <c r="X163" s="1"/>
  <c r="K163"/>
  <c r="Q163" s="1"/>
  <c r="W163" s="1"/>
  <c r="L149"/>
  <c r="R149" s="1"/>
  <c r="X149" s="1"/>
  <c r="K149"/>
  <c r="Q149" s="1"/>
  <c r="W149" s="1"/>
  <c r="L147"/>
  <c r="R147" s="1"/>
  <c r="X147" s="1"/>
  <c r="K147"/>
  <c r="Q147" s="1"/>
  <c r="W147" s="1"/>
  <c r="L145"/>
  <c r="R145" s="1"/>
  <c r="X145" s="1"/>
  <c r="K145"/>
  <c r="Q145" s="1"/>
  <c r="W145" s="1"/>
  <c r="L139"/>
  <c r="K139"/>
  <c r="L136"/>
  <c r="K136"/>
  <c r="L132"/>
  <c r="K132"/>
  <c r="L126"/>
  <c r="K126"/>
  <c r="L120"/>
  <c r="K120"/>
  <c r="L111"/>
  <c r="K111"/>
  <c r="L114"/>
  <c r="K114"/>
  <c r="L117"/>
  <c r="K117"/>
  <c r="L86"/>
  <c r="K86"/>
  <c r="L74"/>
  <c r="K74"/>
  <c r="L83"/>
  <c r="K83"/>
  <c r="L80"/>
  <c r="K80"/>
  <c r="L77"/>
  <c r="K77"/>
  <c r="L63"/>
  <c r="K63"/>
  <c r="L57"/>
  <c r="K57"/>
  <c r="L51"/>
  <c r="K51"/>
  <c r="L48"/>
  <c r="K48"/>
  <c r="L45"/>
  <c r="K45"/>
  <c r="L22"/>
  <c r="K22"/>
  <c r="L21" l="1"/>
  <c r="R21" s="1"/>
  <c r="X21" s="1"/>
  <c r="R22"/>
  <c r="X22" s="1"/>
  <c r="L47"/>
  <c r="R47" s="1"/>
  <c r="X47" s="1"/>
  <c r="R48"/>
  <c r="X48" s="1"/>
  <c r="L76"/>
  <c r="R76" s="1"/>
  <c r="X76" s="1"/>
  <c r="R77"/>
  <c r="X77" s="1"/>
  <c r="L82"/>
  <c r="R82" s="1"/>
  <c r="X82" s="1"/>
  <c r="R83"/>
  <c r="X83" s="1"/>
  <c r="L113"/>
  <c r="R113" s="1"/>
  <c r="X113" s="1"/>
  <c r="R114"/>
  <c r="X114" s="1"/>
  <c r="L131"/>
  <c r="R131" s="1"/>
  <c r="X131" s="1"/>
  <c r="R132"/>
  <c r="X132" s="1"/>
  <c r="L138"/>
  <c r="R138" s="1"/>
  <c r="X138" s="1"/>
  <c r="R139"/>
  <c r="X139" s="1"/>
  <c r="L184"/>
  <c r="R184" s="1"/>
  <c r="X184" s="1"/>
  <c r="R185"/>
  <c r="X185" s="1"/>
  <c r="L203"/>
  <c r="R203" s="1"/>
  <c r="X203" s="1"/>
  <c r="R204"/>
  <c r="X204" s="1"/>
  <c r="L218"/>
  <c r="R218" s="1"/>
  <c r="X218" s="1"/>
  <c r="R219"/>
  <c r="X219" s="1"/>
  <c r="L232"/>
  <c r="R233"/>
  <c r="X233" s="1"/>
  <c r="L252"/>
  <c r="R252" s="1"/>
  <c r="X252" s="1"/>
  <c r="R253"/>
  <c r="X253" s="1"/>
  <c r="L266"/>
  <c r="R267"/>
  <c r="X267" s="1"/>
  <c r="L282"/>
  <c r="R282" s="1"/>
  <c r="X282" s="1"/>
  <c r="R283"/>
  <c r="X283" s="1"/>
  <c r="L345"/>
  <c r="R345" s="1"/>
  <c r="X345" s="1"/>
  <c r="R346"/>
  <c r="X346" s="1"/>
  <c r="L421"/>
  <c r="R422"/>
  <c r="X422" s="1"/>
  <c r="K50"/>
  <c r="Q50" s="1"/>
  <c r="W50" s="1"/>
  <c r="Q51"/>
  <c r="W51" s="1"/>
  <c r="K79"/>
  <c r="Q80"/>
  <c r="W80" s="1"/>
  <c r="K116"/>
  <c r="Q116" s="1"/>
  <c r="W116" s="1"/>
  <c r="Q117"/>
  <c r="W117" s="1"/>
  <c r="K125"/>
  <c r="Q125" s="1"/>
  <c r="W125" s="1"/>
  <c r="Q126"/>
  <c r="W126" s="1"/>
  <c r="K135"/>
  <c r="Q135" s="1"/>
  <c r="W135" s="1"/>
  <c r="Q136"/>
  <c r="W136" s="1"/>
  <c r="K196"/>
  <c r="Q196" s="1"/>
  <c r="W196" s="1"/>
  <c r="Q197"/>
  <c r="W197" s="1"/>
  <c r="K215"/>
  <c r="Q215" s="1"/>
  <c r="W215" s="1"/>
  <c r="Q216"/>
  <c r="W216" s="1"/>
  <c r="K221"/>
  <c r="Q221" s="1"/>
  <c r="W221" s="1"/>
  <c r="Q222"/>
  <c r="W222" s="1"/>
  <c r="K228"/>
  <c r="Q229"/>
  <c r="W229" s="1"/>
  <c r="K255"/>
  <c r="Q255" s="1"/>
  <c r="W255" s="1"/>
  <c r="Q256"/>
  <c r="W256" s="1"/>
  <c r="K273"/>
  <c r="Q273" s="1"/>
  <c r="W273" s="1"/>
  <c r="Q274"/>
  <c r="W274" s="1"/>
  <c r="K329"/>
  <c r="K325" s="1"/>
  <c r="Q330"/>
  <c r="W330" s="1"/>
  <c r="K427"/>
  <c r="K426" s="1"/>
  <c r="Q428"/>
  <c r="W428" s="1"/>
  <c r="L44"/>
  <c r="R44" s="1"/>
  <c r="X44" s="1"/>
  <c r="R45"/>
  <c r="X45" s="1"/>
  <c r="L50"/>
  <c r="R50" s="1"/>
  <c r="X50" s="1"/>
  <c r="R51"/>
  <c r="X51" s="1"/>
  <c r="L62"/>
  <c r="R63"/>
  <c r="X63" s="1"/>
  <c r="L79"/>
  <c r="R80"/>
  <c r="X80" s="1"/>
  <c r="L73"/>
  <c r="R73" s="1"/>
  <c r="X73" s="1"/>
  <c r="R74"/>
  <c r="X74" s="1"/>
  <c r="L116"/>
  <c r="R116" s="1"/>
  <c r="X116" s="1"/>
  <c r="R117"/>
  <c r="X117" s="1"/>
  <c r="L110"/>
  <c r="R110" s="1"/>
  <c r="X110" s="1"/>
  <c r="R111"/>
  <c r="X111" s="1"/>
  <c r="L125"/>
  <c r="R125" s="1"/>
  <c r="X125" s="1"/>
  <c r="R126"/>
  <c r="X126" s="1"/>
  <c r="L135"/>
  <c r="R135" s="1"/>
  <c r="X135" s="1"/>
  <c r="R136"/>
  <c r="X136" s="1"/>
  <c r="L187"/>
  <c r="R187" s="1"/>
  <c r="X187" s="1"/>
  <c r="R188"/>
  <c r="X188" s="1"/>
  <c r="L196"/>
  <c r="R196" s="1"/>
  <c r="X196" s="1"/>
  <c r="R197"/>
  <c r="X197" s="1"/>
  <c r="L206"/>
  <c r="R206" s="1"/>
  <c r="X206" s="1"/>
  <c r="R207"/>
  <c r="X207" s="1"/>
  <c r="L215"/>
  <c r="R215" s="1"/>
  <c r="X215" s="1"/>
  <c r="R216"/>
  <c r="X216" s="1"/>
  <c r="L221"/>
  <c r="R221" s="1"/>
  <c r="X221" s="1"/>
  <c r="R222"/>
  <c r="X222" s="1"/>
  <c r="L228"/>
  <c r="R229"/>
  <c r="X229" s="1"/>
  <c r="L246"/>
  <c r="R246" s="1"/>
  <c r="X246" s="1"/>
  <c r="R247"/>
  <c r="X247" s="1"/>
  <c r="L255"/>
  <c r="R255" s="1"/>
  <c r="X255" s="1"/>
  <c r="R256"/>
  <c r="X256" s="1"/>
  <c r="L262"/>
  <c r="R263"/>
  <c r="X263" s="1"/>
  <c r="L273"/>
  <c r="R273" s="1"/>
  <c r="X273" s="1"/>
  <c r="R274"/>
  <c r="X274" s="1"/>
  <c r="L279"/>
  <c r="R279" s="1"/>
  <c r="X279" s="1"/>
  <c r="R280"/>
  <c r="X280" s="1"/>
  <c r="L329"/>
  <c r="L325" s="1"/>
  <c r="R330"/>
  <c r="X330" s="1"/>
  <c r="L339"/>
  <c r="R340"/>
  <c r="X340" s="1"/>
  <c r="L379"/>
  <c r="R380"/>
  <c r="X380" s="1"/>
  <c r="L1732"/>
  <c r="R1732" s="1"/>
  <c r="X1732" s="1"/>
  <c r="R1733"/>
  <c r="X1733" s="1"/>
  <c r="L366"/>
  <c r="R366" s="1"/>
  <c r="X366" s="1"/>
  <c r="R367"/>
  <c r="X367" s="1"/>
  <c r="L427"/>
  <c r="L426" s="1"/>
  <c r="R428"/>
  <c r="X428" s="1"/>
  <c r="L56"/>
  <c r="R56" s="1"/>
  <c r="X56" s="1"/>
  <c r="R57"/>
  <c r="X57" s="1"/>
  <c r="L85"/>
  <c r="R85" s="1"/>
  <c r="X85" s="1"/>
  <c r="R86"/>
  <c r="X86" s="1"/>
  <c r="L119"/>
  <c r="R119" s="1"/>
  <c r="X119" s="1"/>
  <c r="R120"/>
  <c r="X120" s="1"/>
  <c r="L193"/>
  <c r="R193" s="1"/>
  <c r="X193" s="1"/>
  <c r="R194"/>
  <c r="X194" s="1"/>
  <c r="L209"/>
  <c r="R209" s="1"/>
  <c r="X209" s="1"/>
  <c r="R210"/>
  <c r="X210" s="1"/>
  <c r="L224"/>
  <c r="R224" s="1"/>
  <c r="X224" s="1"/>
  <c r="R225"/>
  <c r="X225" s="1"/>
  <c r="L258"/>
  <c r="R258" s="1"/>
  <c r="X258" s="1"/>
  <c r="R259"/>
  <c r="X259" s="1"/>
  <c r="L276"/>
  <c r="R276" s="1"/>
  <c r="X276" s="1"/>
  <c r="R277"/>
  <c r="X277" s="1"/>
  <c r="L312"/>
  <c r="R313"/>
  <c r="X313" s="1"/>
  <c r="L336"/>
  <c r="R336" s="1"/>
  <c r="X336" s="1"/>
  <c r="R337"/>
  <c r="X337" s="1"/>
  <c r="L394"/>
  <c r="R395"/>
  <c r="X395" s="1"/>
  <c r="K44"/>
  <c r="Q44" s="1"/>
  <c r="W44" s="1"/>
  <c r="Q45"/>
  <c r="W45" s="1"/>
  <c r="K62"/>
  <c r="Q63"/>
  <c r="W63" s="1"/>
  <c r="K73"/>
  <c r="Q73" s="1"/>
  <c r="W73" s="1"/>
  <c r="Q74"/>
  <c r="W74" s="1"/>
  <c r="K110"/>
  <c r="Q110" s="1"/>
  <c r="W110" s="1"/>
  <c r="Q111"/>
  <c r="W111" s="1"/>
  <c r="K187"/>
  <c r="Q187" s="1"/>
  <c r="W187" s="1"/>
  <c r="Q188"/>
  <c r="W188" s="1"/>
  <c r="K206"/>
  <c r="Q206" s="1"/>
  <c r="W206" s="1"/>
  <c r="Q207"/>
  <c r="W207" s="1"/>
  <c r="K246"/>
  <c r="Q246" s="1"/>
  <c r="W246" s="1"/>
  <c r="Q247"/>
  <c r="W247" s="1"/>
  <c r="K262"/>
  <c r="Q263"/>
  <c r="W263" s="1"/>
  <c r="K279"/>
  <c r="Q279" s="1"/>
  <c r="W279" s="1"/>
  <c r="Q280"/>
  <c r="W280" s="1"/>
  <c r="K339"/>
  <c r="Q340"/>
  <c r="W340" s="1"/>
  <c r="K379"/>
  <c r="Q380"/>
  <c r="W380" s="1"/>
  <c r="K1732"/>
  <c r="Q1732" s="1"/>
  <c r="W1732" s="1"/>
  <c r="Q1733"/>
  <c r="W1733" s="1"/>
  <c r="K366"/>
  <c r="Q366" s="1"/>
  <c r="W366" s="1"/>
  <c r="Q367"/>
  <c r="W367" s="1"/>
  <c r="K21"/>
  <c r="Q21" s="1"/>
  <c r="W21" s="1"/>
  <c r="Q22"/>
  <c r="W22" s="1"/>
  <c r="K47"/>
  <c r="Q47" s="1"/>
  <c r="W47" s="1"/>
  <c r="Q48"/>
  <c r="W48" s="1"/>
  <c r="K56"/>
  <c r="Q56" s="1"/>
  <c r="W56" s="1"/>
  <c r="Q57"/>
  <c r="W57" s="1"/>
  <c r="K76"/>
  <c r="Q76" s="1"/>
  <c r="W76" s="1"/>
  <c r="Q77"/>
  <c r="W77" s="1"/>
  <c r="K82"/>
  <c r="Q82" s="1"/>
  <c r="W82" s="1"/>
  <c r="Q83"/>
  <c r="W83" s="1"/>
  <c r="K85"/>
  <c r="Q85" s="1"/>
  <c r="W85" s="1"/>
  <c r="Q86"/>
  <c r="W86" s="1"/>
  <c r="K113"/>
  <c r="Q113" s="1"/>
  <c r="W113" s="1"/>
  <c r="Q114"/>
  <c r="W114" s="1"/>
  <c r="K119"/>
  <c r="Q119" s="1"/>
  <c r="W119" s="1"/>
  <c r="Q120"/>
  <c r="W120" s="1"/>
  <c r="K131"/>
  <c r="Q131" s="1"/>
  <c r="W131" s="1"/>
  <c r="Q132"/>
  <c r="W132" s="1"/>
  <c r="K138"/>
  <c r="Q138" s="1"/>
  <c r="W138" s="1"/>
  <c r="Q139"/>
  <c r="W139" s="1"/>
  <c r="K184"/>
  <c r="Q184" s="1"/>
  <c r="W184" s="1"/>
  <c r="Q185"/>
  <c r="W185" s="1"/>
  <c r="K193"/>
  <c r="Q193" s="1"/>
  <c r="W193" s="1"/>
  <c r="Q194"/>
  <c r="W194" s="1"/>
  <c r="K203"/>
  <c r="Q203" s="1"/>
  <c r="W203" s="1"/>
  <c r="Q204"/>
  <c r="W204" s="1"/>
  <c r="K209"/>
  <c r="Q209" s="1"/>
  <c r="W209" s="1"/>
  <c r="Q210"/>
  <c r="W210" s="1"/>
  <c r="K218"/>
  <c r="Q218" s="1"/>
  <c r="W218" s="1"/>
  <c r="Q219"/>
  <c r="W219" s="1"/>
  <c r="K224"/>
  <c r="Q224" s="1"/>
  <c r="W224" s="1"/>
  <c r="Q225"/>
  <c r="W225" s="1"/>
  <c r="K232"/>
  <c r="Q233"/>
  <c r="W233" s="1"/>
  <c r="K252"/>
  <c r="Q252" s="1"/>
  <c r="W252" s="1"/>
  <c r="Q253"/>
  <c r="W253" s="1"/>
  <c r="K258"/>
  <c r="Q258" s="1"/>
  <c r="W258" s="1"/>
  <c r="Q259"/>
  <c r="W259" s="1"/>
  <c r="K266"/>
  <c r="Q267"/>
  <c r="W267" s="1"/>
  <c r="K276"/>
  <c r="Q276" s="1"/>
  <c r="W276" s="1"/>
  <c r="Q277"/>
  <c r="W277" s="1"/>
  <c r="K282"/>
  <c r="Q282" s="1"/>
  <c r="W282" s="1"/>
  <c r="Q283"/>
  <c r="W283" s="1"/>
  <c r="K312"/>
  <c r="Q313"/>
  <c r="W313" s="1"/>
  <c r="K336"/>
  <c r="Q336" s="1"/>
  <c r="W336" s="1"/>
  <c r="Q337"/>
  <c r="W337" s="1"/>
  <c r="K345"/>
  <c r="Q345" s="1"/>
  <c r="W345" s="1"/>
  <c r="Q346"/>
  <c r="W346" s="1"/>
  <c r="K394"/>
  <c r="Q395"/>
  <c r="W395" s="1"/>
  <c r="K421"/>
  <c r="Q422"/>
  <c r="W422" s="1"/>
  <c r="L239"/>
  <c r="L316"/>
  <c r="L348"/>
  <c r="L1747"/>
  <c r="L144"/>
  <c r="K316"/>
  <c r="K348"/>
  <c r="K1747"/>
  <c r="L413"/>
  <c r="R413" s="1"/>
  <c r="X413" s="1"/>
  <c r="L167"/>
  <c r="R167" s="1"/>
  <c r="X167" s="1"/>
  <c r="K144"/>
  <c r="K162"/>
  <c r="Q162" s="1"/>
  <c r="W162" s="1"/>
  <c r="K239"/>
  <c r="K167"/>
  <c r="Q167" s="1"/>
  <c r="W167" s="1"/>
  <c r="E27" i="6"/>
  <c r="K27" s="1"/>
  <c r="Q27" s="1"/>
  <c r="F27"/>
  <c r="L27" s="1"/>
  <c r="R27" s="1"/>
  <c r="L162" i="5"/>
  <c r="R162" s="1"/>
  <c r="X162" s="1"/>
  <c r="K294"/>
  <c r="K358"/>
  <c r="K1735"/>
  <c r="L294"/>
  <c r="L358"/>
  <c r="L1735"/>
  <c r="K413"/>
  <c r="Q413" s="1"/>
  <c r="W413" s="1"/>
  <c r="L272" l="1"/>
  <c r="L271" s="1"/>
  <c r="L183"/>
  <c r="R183" s="1"/>
  <c r="X183" s="1"/>
  <c r="K272"/>
  <c r="K271" s="1"/>
  <c r="Q339"/>
  <c r="W339" s="1"/>
  <c r="K332"/>
  <c r="R339"/>
  <c r="X339" s="1"/>
  <c r="L332"/>
  <c r="R332" s="1"/>
  <c r="X332" s="1"/>
  <c r="R79"/>
  <c r="X79" s="1"/>
  <c r="L69"/>
  <c r="R69" s="1"/>
  <c r="X69" s="1"/>
  <c r="Q79"/>
  <c r="W79" s="1"/>
  <c r="K69"/>
  <c r="Q69" s="1"/>
  <c r="W69" s="1"/>
  <c r="K202"/>
  <c r="Q202" s="1"/>
  <c r="W202" s="1"/>
  <c r="R294"/>
  <c r="X294" s="1"/>
  <c r="K238"/>
  <c r="Q239"/>
  <c r="W239" s="1"/>
  <c r="L238"/>
  <c r="R239"/>
  <c r="X239" s="1"/>
  <c r="K378"/>
  <c r="Q379"/>
  <c r="W379" s="1"/>
  <c r="L390"/>
  <c r="R394"/>
  <c r="X394" s="1"/>
  <c r="L378"/>
  <c r="R379"/>
  <c r="X379" s="1"/>
  <c r="R325"/>
  <c r="X325" s="1"/>
  <c r="R329"/>
  <c r="X329" s="1"/>
  <c r="L227"/>
  <c r="R227" s="1"/>
  <c r="X227" s="1"/>
  <c r="R228"/>
  <c r="X228" s="1"/>
  <c r="K1731"/>
  <c r="Q1735"/>
  <c r="W1735" s="1"/>
  <c r="K43"/>
  <c r="L1731"/>
  <c r="R1735"/>
  <c r="X1735" s="1"/>
  <c r="K143"/>
  <c r="Q144"/>
  <c r="W144" s="1"/>
  <c r="L344"/>
  <c r="R348"/>
  <c r="X348" s="1"/>
  <c r="L106"/>
  <c r="R106" s="1"/>
  <c r="X106" s="1"/>
  <c r="K420"/>
  <c r="Q421"/>
  <c r="W421" s="1"/>
  <c r="K265"/>
  <c r="Q265" s="1"/>
  <c r="W265" s="1"/>
  <c r="Q266"/>
  <c r="W266" s="1"/>
  <c r="K261"/>
  <c r="Q261" s="1"/>
  <c r="W261" s="1"/>
  <c r="Q262"/>
  <c r="W262" s="1"/>
  <c r="K61"/>
  <c r="Q62"/>
  <c r="W62" s="1"/>
  <c r="R427"/>
  <c r="X427" s="1"/>
  <c r="L261"/>
  <c r="R261" s="1"/>
  <c r="X261" s="1"/>
  <c r="R262"/>
  <c r="X262" s="1"/>
  <c r="Q427"/>
  <c r="W427" s="1"/>
  <c r="Q325"/>
  <c r="W325" s="1"/>
  <c r="Q329"/>
  <c r="W329" s="1"/>
  <c r="L420"/>
  <c r="R421"/>
  <c r="X421" s="1"/>
  <c r="K315"/>
  <c r="Q315" s="1"/>
  <c r="W315" s="1"/>
  <c r="Q316"/>
  <c r="W316" s="1"/>
  <c r="K311"/>
  <c r="Q311" s="1"/>
  <c r="W311" s="1"/>
  <c r="Q312"/>
  <c r="W312" s="1"/>
  <c r="K231"/>
  <c r="Q231" s="1"/>
  <c r="W231" s="1"/>
  <c r="Q232"/>
  <c r="W232" s="1"/>
  <c r="L311"/>
  <c r="R311" s="1"/>
  <c r="X311" s="1"/>
  <c r="R312"/>
  <c r="X312" s="1"/>
  <c r="L61"/>
  <c r="R62"/>
  <c r="X62" s="1"/>
  <c r="K227"/>
  <c r="Q227" s="1"/>
  <c r="W227" s="1"/>
  <c r="Q228"/>
  <c r="W228" s="1"/>
  <c r="L265"/>
  <c r="R265" s="1"/>
  <c r="X265" s="1"/>
  <c r="R266"/>
  <c r="X266" s="1"/>
  <c r="L231"/>
  <c r="R231" s="1"/>
  <c r="X231" s="1"/>
  <c r="R232"/>
  <c r="X232" s="1"/>
  <c r="L202"/>
  <c r="L143"/>
  <c r="R144"/>
  <c r="X144" s="1"/>
  <c r="L1746"/>
  <c r="R1746" s="1"/>
  <c r="X1746" s="1"/>
  <c r="R1747"/>
  <c r="X1747" s="1"/>
  <c r="K106"/>
  <c r="Q106" s="1"/>
  <c r="W106" s="1"/>
  <c r="K20"/>
  <c r="Q20" s="1"/>
  <c r="W20" s="1"/>
  <c r="K357"/>
  <c r="Q357" s="1"/>
  <c r="W357" s="1"/>
  <c r="Q358"/>
  <c r="W358" s="1"/>
  <c r="K134"/>
  <c r="Q134" s="1"/>
  <c r="W134" s="1"/>
  <c r="K1746"/>
  <c r="Q1746" s="1"/>
  <c r="W1746" s="1"/>
  <c r="Q1747"/>
  <c r="W1747" s="1"/>
  <c r="L43"/>
  <c r="L20"/>
  <c r="R20" s="1"/>
  <c r="X20" s="1"/>
  <c r="K390"/>
  <c r="Q394"/>
  <c r="W394" s="1"/>
  <c r="L357"/>
  <c r="R357" s="1"/>
  <c r="X357" s="1"/>
  <c r="R358"/>
  <c r="X358" s="1"/>
  <c r="Q294"/>
  <c r="W294" s="1"/>
  <c r="L134"/>
  <c r="R134" s="1"/>
  <c r="X134" s="1"/>
  <c r="K344"/>
  <c r="Q348"/>
  <c r="W348" s="1"/>
  <c r="L315"/>
  <c r="R315" s="1"/>
  <c r="X315" s="1"/>
  <c r="R316"/>
  <c r="X316" s="1"/>
  <c r="K183"/>
  <c r="L161"/>
  <c r="L412"/>
  <c r="R412" s="1"/>
  <c r="X412" s="1"/>
  <c r="K412"/>
  <c r="Q412" s="1"/>
  <c r="W412" s="1"/>
  <c r="K161"/>
  <c r="K1745" l="1"/>
  <c r="R272"/>
  <c r="X272" s="1"/>
  <c r="L1745"/>
  <c r="R1745" s="1"/>
  <c r="X1745" s="1"/>
  <c r="Q272"/>
  <c r="W272" s="1"/>
  <c r="L182"/>
  <c r="L181" s="1"/>
  <c r="K293"/>
  <c r="Q293" s="1"/>
  <c r="W293" s="1"/>
  <c r="K19"/>
  <c r="L19"/>
  <c r="K68"/>
  <c r="Q68" s="1"/>
  <c r="W68" s="1"/>
  <c r="K356"/>
  <c r="K355" s="1"/>
  <c r="F48" i="6"/>
  <c r="L48" s="1"/>
  <c r="R48" s="1"/>
  <c r="E48"/>
  <c r="K48" s="1"/>
  <c r="Q48" s="1"/>
  <c r="L42" i="5"/>
  <c r="R43"/>
  <c r="X43" s="1"/>
  <c r="K1730"/>
  <c r="Q1731"/>
  <c r="W1731" s="1"/>
  <c r="R390"/>
  <c r="X390" s="1"/>
  <c r="L384"/>
  <c r="F43" i="6" s="1"/>
  <c r="K201" i="5"/>
  <c r="K324"/>
  <c r="Q332"/>
  <c r="W332" s="1"/>
  <c r="K160"/>
  <c r="E73" i="6" s="1"/>
  <c r="Q161" i="5"/>
  <c r="W161" s="1"/>
  <c r="L356"/>
  <c r="L201"/>
  <c r="R202"/>
  <c r="X202" s="1"/>
  <c r="L270"/>
  <c r="R271"/>
  <c r="X271" s="1"/>
  <c r="K270"/>
  <c r="Q271"/>
  <c r="W271" s="1"/>
  <c r="L1744"/>
  <c r="K343"/>
  <c r="Q344"/>
  <c r="W344" s="1"/>
  <c r="Q390"/>
  <c r="W390" s="1"/>
  <c r="K384"/>
  <c r="E43" i="6" s="1"/>
  <c r="L343" i="5"/>
  <c r="R344"/>
  <c r="X344" s="1"/>
  <c r="K142"/>
  <c r="Q143"/>
  <c r="W143" s="1"/>
  <c r="L160"/>
  <c r="F73" i="6" s="1"/>
  <c r="R161" i="5"/>
  <c r="X161" s="1"/>
  <c r="L1730"/>
  <c r="R1731"/>
  <c r="X1731" s="1"/>
  <c r="K419"/>
  <c r="Q420"/>
  <c r="W420" s="1"/>
  <c r="K1744"/>
  <c r="Q1745"/>
  <c r="W1745" s="1"/>
  <c r="L68"/>
  <c r="K182"/>
  <c r="Q183"/>
  <c r="W183" s="1"/>
  <c r="L142"/>
  <c r="R143"/>
  <c r="X143" s="1"/>
  <c r="L324"/>
  <c r="L60"/>
  <c r="R60" s="1"/>
  <c r="X60" s="1"/>
  <c r="R61"/>
  <c r="X61" s="1"/>
  <c r="L419"/>
  <c r="R420"/>
  <c r="X420" s="1"/>
  <c r="Q426"/>
  <c r="W426" s="1"/>
  <c r="K425"/>
  <c r="Q425" s="1"/>
  <c r="W425" s="1"/>
  <c r="R426"/>
  <c r="X426" s="1"/>
  <c r="L425"/>
  <c r="R425" s="1"/>
  <c r="X425" s="1"/>
  <c r="K60"/>
  <c r="Q60" s="1"/>
  <c r="W60" s="1"/>
  <c r="Q61"/>
  <c r="W61" s="1"/>
  <c r="K42"/>
  <c r="Q43"/>
  <c r="W43" s="1"/>
  <c r="L377"/>
  <c r="F40" i="6" s="1"/>
  <c r="R378" i="5"/>
  <c r="X378" s="1"/>
  <c r="K377"/>
  <c r="E40" i="6" s="1"/>
  <c r="Q378" i="5"/>
  <c r="W378" s="1"/>
  <c r="L237"/>
  <c r="R238"/>
  <c r="X238" s="1"/>
  <c r="K237"/>
  <c r="Q238"/>
  <c r="W238" s="1"/>
  <c r="L293"/>
  <c r="K411"/>
  <c r="L411"/>
  <c r="K18" l="1"/>
  <c r="Q18" s="1"/>
  <c r="W18" s="1"/>
  <c r="E25" i="6"/>
  <c r="R19" i="5"/>
  <c r="F25" i="6"/>
  <c r="K292" i="5"/>
  <c r="E57" i="6" s="1"/>
  <c r="K57" s="1"/>
  <c r="Q57" s="1"/>
  <c r="R182" i="5"/>
  <c r="X182" s="1"/>
  <c r="Q19"/>
  <c r="K67"/>
  <c r="Q67" s="1"/>
  <c r="W67" s="1"/>
  <c r="Q356"/>
  <c r="W356" s="1"/>
  <c r="L18"/>
  <c r="R18" s="1"/>
  <c r="X18" s="1"/>
  <c r="E72" i="6"/>
  <c r="K72" s="1"/>
  <c r="Q72" s="1"/>
  <c r="K73"/>
  <c r="Q73" s="1"/>
  <c r="F72"/>
  <c r="L72" s="1"/>
  <c r="R72" s="1"/>
  <c r="L73"/>
  <c r="R73" s="1"/>
  <c r="F61"/>
  <c r="L61" s="1"/>
  <c r="R61" s="1"/>
  <c r="R142" i="5"/>
  <c r="X142" s="1"/>
  <c r="L355"/>
  <c r="R356"/>
  <c r="X356" s="1"/>
  <c r="L383"/>
  <c r="R383" s="1"/>
  <c r="X383" s="1"/>
  <c r="R384"/>
  <c r="K236"/>
  <c r="Q236" s="1"/>
  <c r="W236" s="1"/>
  <c r="Q237"/>
  <c r="W237" s="1"/>
  <c r="K41"/>
  <c r="Q42"/>
  <c r="W42" s="1"/>
  <c r="F53" i="6"/>
  <c r="L53" s="1"/>
  <c r="R53" s="1"/>
  <c r="R181" i="5"/>
  <c r="X181" s="1"/>
  <c r="K1743"/>
  <c r="Q1743" s="1"/>
  <c r="W1743" s="1"/>
  <c r="Q1744"/>
  <c r="W1744" s="1"/>
  <c r="E61" i="6"/>
  <c r="K61" s="1"/>
  <c r="Q61" s="1"/>
  <c r="Q142" i="5"/>
  <c r="W142" s="1"/>
  <c r="F56" i="6"/>
  <c r="L56" s="1"/>
  <c r="R56" s="1"/>
  <c r="R270" i="5"/>
  <c r="X270" s="1"/>
  <c r="Q1730"/>
  <c r="W1730" s="1"/>
  <c r="K1729"/>
  <c r="E19" i="6"/>
  <c r="K19" s="1"/>
  <c r="Q19" s="1"/>
  <c r="R42" i="5"/>
  <c r="X42" s="1"/>
  <c r="L41"/>
  <c r="L410"/>
  <c r="F22" i="6" s="1"/>
  <c r="R411" i="5"/>
  <c r="X411" s="1"/>
  <c r="K181"/>
  <c r="Q182"/>
  <c r="W182" s="1"/>
  <c r="K383"/>
  <c r="Q383" s="1"/>
  <c r="W383" s="1"/>
  <c r="Q384"/>
  <c r="K410"/>
  <c r="Q410" s="1"/>
  <c r="W410" s="1"/>
  <c r="Q411"/>
  <c r="W411" s="1"/>
  <c r="L323"/>
  <c r="F69" i="6" s="1"/>
  <c r="R324" i="5"/>
  <c r="X324" s="1"/>
  <c r="K159"/>
  <c r="Q159" s="1"/>
  <c r="W159" s="1"/>
  <c r="Q160"/>
  <c r="W160" s="1"/>
  <c r="K323"/>
  <c r="E69" i="6" s="1"/>
  <c r="Q324" i="5"/>
  <c r="W324" s="1"/>
  <c r="Q355"/>
  <c r="W355" s="1"/>
  <c r="R293"/>
  <c r="X293" s="1"/>
  <c r="L292"/>
  <c r="L236"/>
  <c r="R236" s="1"/>
  <c r="X236" s="1"/>
  <c r="R237"/>
  <c r="X237" s="1"/>
  <c r="K370"/>
  <c r="Q370" s="1"/>
  <c r="W370" s="1"/>
  <c r="Q377"/>
  <c r="L370"/>
  <c r="R370" s="1"/>
  <c r="X370" s="1"/>
  <c r="R377"/>
  <c r="F24" i="6"/>
  <c r="L24" s="1"/>
  <c r="R24" s="1"/>
  <c r="R419" i="5"/>
  <c r="X419" s="1"/>
  <c r="L67"/>
  <c r="R68"/>
  <c r="X68" s="1"/>
  <c r="E24" i="6"/>
  <c r="K24" s="1"/>
  <c r="Q24" s="1"/>
  <c r="Q419" i="5"/>
  <c r="W419" s="1"/>
  <c r="R1730"/>
  <c r="X1730" s="1"/>
  <c r="F19" i="6"/>
  <c r="L19" s="1"/>
  <c r="R19" s="1"/>
  <c r="L1729" i="5"/>
  <c r="L159"/>
  <c r="R159" s="1"/>
  <c r="X159" s="1"/>
  <c r="R160"/>
  <c r="X160" s="1"/>
  <c r="F70" i="6"/>
  <c r="L70" s="1"/>
  <c r="R70" s="1"/>
  <c r="R343" i="5"/>
  <c r="X343" s="1"/>
  <c r="E70" i="6"/>
  <c r="K70" s="1"/>
  <c r="Q70" s="1"/>
  <c r="Q343" i="5"/>
  <c r="W343" s="1"/>
  <c r="L1743"/>
  <c r="R1743" s="1"/>
  <c r="X1743" s="1"/>
  <c r="R1744"/>
  <c r="X1744" s="1"/>
  <c r="E56" i="6"/>
  <c r="K56" s="1"/>
  <c r="Q56" s="1"/>
  <c r="Q270" i="5"/>
  <c r="W270" s="1"/>
  <c r="L200"/>
  <c r="F54" i="6" s="1"/>
  <c r="R201" i="5"/>
  <c r="X201" s="1"/>
  <c r="K200"/>
  <c r="E54" i="6" s="1"/>
  <c r="Q201" i="5"/>
  <c r="W201" s="1"/>
  <c r="K1757"/>
  <c r="L1757"/>
  <c r="J361"/>
  <c r="P361" s="1"/>
  <c r="V361" s="1"/>
  <c r="J359"/>
  <c r="P359" s="1"/>
  <c r="V359" s="1"/>
  <c r="Q292" l="1"/>
  <c r="W292" s="1"/>
  <c r="W384"/>
  <c r="Q43" i="6" s="1"/>
  <c r="K43"/>
  <c r="W377" i="5"/>
  <c r="Q40" i="6" s="1"/>
  <c r="K40"/>
  <c r="W19" i="5"/>
  <c r="Q25" i="6" s="1"/>
  <c r="K25"/>
  <c r="X19" i="5"/>
  <c r="R25" i="6" s="1"/>
  <c r="L25"/>
  <c r="X377" i="5"/>
  <c r="R40" i="6" s="1"/>
  <c r="L40"/>
  <c r="X384" i="5"/>
  <c r="R43" i="6" s="1"/>
  <c r="L43"/>
  <c r="F30"/>
  <c r="L30" s="1"/>
  <c r="R30" s="1"/>
  <c r="K66" i="5"/>
  <c r="Q66" s="1"/>
  <c r="W66" s="1"/>
  <c r="E60" i="6"/>
  <c r="K60" s="1"/>
  <c r="Q60" s="1"/>
  <c r="E30"/>
  <c r="K30" s="1"/>
  <c r="Q30" s="1"/>
  <c r="K408" i="5"/>
  <c r="Q408" s="1"/>
  <c r="W408" s="1"/>
  <c r="E22" i="6"/>
  <c r="K22" s="1"/>
  <c r="Q22" s="1"/>
  <c r="K354" i="5"/>
  <c r="Q354" s="1"/>
  <c r="W354" s="1"/>
  <c r="F17" i="6"/>
  <c r="L17" s="1"/>
  <c r="R17" s="1"/>
  <c r="L22"/>
  <c r="R22" s="1"/>
  <c r="F60"/>
  <c r="R67" i="5"/>
  <c r="X67" s="1"/>
  <c r="L66"/>
  <c r="E53" i="6"/>
  <c r="K53" s="1"/>
  <c r="Q53" s="1"/>
  <c r="Q181" i="5"/>
  <c r="W181" s="1"/>
  <c r="K180"/>
  <c r="K1728"/>
  <c r="Q1728" s="1"/>
  <c r="W1728" s="1"/>
  <c r="Q1729"/>
  <c r="W1729" s="1"/>
  <c r="F57" i="6"/>
  <c r="L57" s="1"/>
  <c r="R57" s="1"/>
  <c r="R292" i="5"/>
  <c r="X292" s="1"/>
  <c r="R323"/>
  <c r="L322"/>
  <c r="R322" s="1"/>
  <c r="X322" s="1"/>
  <c r="Q200"/>
  <c r="R200"/>
  <c r="L180"/>
  <c r="Q323"/>
  <c r="K322"/>
  <c r="Q322" s="1"/>
  <c r="W322" s="1"/>
  <c r="L40"/>
  <c r="R40" s="1"/>
  <c r="X40" s="1"/>
  <c r="R41"/>
  <c r="X41" s="1"/>
  <c r="F55" i="6"/>
  <c r="L55" s="1"/>
  <c r="R55" s="1"/>
  <c r="L354" i="5"/>
  <c r="R354" s="1"/>
  <c r="X354" s="1"/>
  <c r="R355"/>
  <c r="X355" s="1"/>
  <c r="L1728"/>
  <c r="R1728" s="1"/>
  <c r="X1728" s="1"/>
  <c r="R1729"/>
  <c r="X1729" s="1"/>
  <c r="L408"/>
  <c r="R410"/>
  <c r="X410" s="1"/>
  <c r="Q41"/>
  <c r="W41" s="1"/>
  <c r="E55" i="6"/>
  <c r="K55" s="1"/>
  <c r="Q55" s="1"/>
  <c r="K40" i="5"/>
  <c r="J358"/>
  <c r="P358" s="1"/>
  <c r="V358" s="1"/>
  <c r="X323" l="1"/>
  <c r="R69" i="6" s="1"/>
  <c r="L69"/>
  <c r="W200" i="5"/>
  <c r="Q54" i="6" s="1"/>
  <c r="K54"/>
  <c r="X200" i="5"/>
  <c r="R54" i="6" s="1"/>
  <c r="L54"/>
  <c r="W323" i="5"/>
  <c r="Q69" i="6" s="1"/>
  <c r="K69"/>
  <c r="E59"/>
  <c r="K59" s="1"/>
  <c r="Q59" s="1"/>
  <c r="K407" i="5"/>
  <c r="Q407" s="1"/>
  <c r="W407" s="1"/>
  <c r="F36" i="6"/>
  <c r="L36" s="1"/>
  <c r="R36" s="1"/>
  <c r="F59"/>
  <c r="L59" s="1"/>
  <c r="R59" s="1"/>
  <c r="L60"/>
  <c r="R60" s="1"/>
  <c r="E80"/>
  <c r="K80" s="1"/>
  <c r="Q80" s="1"/>
  <c r="E66"/>
  <c r="K66" s="1"/>
  <c r="Q66" s="1"/>
  <c r="F66"/>
  <c r="L66" s="1"/>
  <c r="R66" s="1"/>
  <c r="F80"/>
  <c r="L80" s="1"/>
  <c r="R80" s="1"/>
  <c r="F42"/>
  <c r="L42" s="1"/>
  <c r="R42" s="1"/>
  <c r="E36"/>
  <c r="K36" s="1"/>
  <c r="Q36" s="1"/>
  <c r="E42"/>
  <c r="K42" s="1"/>
  <c r="Q42" s="1"/>
  <c r="E17"/>
  <c r="K17" s="1"/>
  <c r="Q17" s="1"/>
  <c r="E52"/>
  <c r="K52" s="1"/>
  <c r="Q52" s="1"/>
  <c r="Q40" i="5"/>
  <c r="W40" s="1"/>
  <c r="K17"/>
  <c r="K179"/>
  <c r="Q179" s="1"/>
  <c r="W179" s="1"/>
  <c r="Q180"/>
  <c r="W180" s="1"/>
  <c r="L17"/>
  <c r="R66"/>
  <c r="X66" s="1"/>
  <c r="L407"/>
  <c r="R407" s="1"/>
  <c r="X407" s="1"/>
  <c r="R408"/>
  <c r="X408" s="1"/>
  <c r="L179"/>
  <c r="R179" s="1"/>
  <c r="X179" s="1"/>
  <c r="R180"/>
  <c r="X180" s="1"/>
  <c r="F52" i="6"/>
  <c r="R17" i="5" l="1"/>
  <c r="L1756"/>
  <c r="K1756"/>
  <c r="L52" i="6"/>
  <c r="R52" s="1"/>
  <c r="F63"/>
  <c r="L63" s="1"/>
  <c r="R63" s="1"/>
  <c r="E63"/>
  <c r="K63" s="1"/>
  <c r="Q63" s="1"/>
  <c r="Q17" i="5"/>
  <c r="W17" l="1"/>
  <c r="W1756" s="1"/>
  <c r="Q1756"/>
  <c r="X17"/>
  <c r="X1756" s="1"/>
  <c r="R1756"/>
  <c r="E83" i="6"/>
  <c r="K83" s="1"/>
  <c r="Q83" s="1"/>
  <c r="F83"/>
  <c r="L83" s="1"/>
  <c r="R83" s="1"/>
  <c r="K1769" i="5"/>
  <c r="L1769"/>
  <c r="J380"/>
  <c r="J379" l="1"/>
  <c r="P380"/>
  <c r="V380" s="1"/>
  <c r="J378" l="1"/>
  <c r="P379"/>
  <c r="V379" s="1"/>
  <c r="J126"/>
  <c r="P126" s="1"/>
  <c r="V126" s="1"/>
  <c r="J132"/>
  <c r="J131" l="1"/>
  <c r="P131" s="1"/>
  <c r="V131" s="1"/>
  <c r="P132"/>
  <c r="V132" s="1"/>
  <c r="J377"/>
  <c r="D40" i="6" s="1"/>
  <c r="P378" i="5"/>
  <c r="V378" s="1"/>
  <c r="J125"/>
  <c r="P125" s="1"/>
  <c r="V125" s="1"/>
  <c r="J370" l="1"/>
  <c r="P370" s="1"/>
  <c r="V370" s="1"/>
  <c r="P377"/>
  <c r="V377" l="1"/>
  <c r="P40" i="6" s="1"/>
  <c r="J40"/>
  <c r="J274" i="5"/>
  <c r="P274" s="1"/>
  <c r="V274" s="1"/>
  <c r="J273" l="1"/>
  <c r="P273" s="1"/>
  <c r="V273" s="1"/>
  <c r="J225" l="1"/>
  <c r="J224" l="1"/>
  <c r="P224" s="1"/>
  <c r="V224" s="1"/>
  <c r="P225"/>
  <c r="V225" s="1"/>
  <c r="J244" l="1"/>
  <c r="P244" s="1"/>
  <c r="V244" s="1"/>
  <c r="J240"/>
  <c r="P240" s="1"/>
  <c r="V240" s="1"/>
  <c r="J259"/>
  <c r="J256"/>
  <c r="J222"/>
  <c r="J197"/>
  <c r="J255" l="1"/>
  <c r="P255" s="1"/>
  <c r="V255" s="1"/>
  <c r="P256"/>
  <c r="V256" s="1"/>
  <c r="J258"/>
  <c r="P258" s="1"/>
  <c r="V258" s="1"/>
  <c r="P259"/>
  <c r="V259" s="1"/>
  <c r="J196"/>
  <c r="P196" s="1"/>
  <c r="V196" s="1"/>
  <c r="P197"/>
  <c r="V197" s="1"/>
  <c r="J221"/>
  <c r="P221" s="1"/>
  <c r="V221" s="1"/>
  <c r="P222"/>
  <c r="V222" s="1"/>
  <c r="J239"/>
  <c r="P239" s="1"/>
  <c r="V239" s="1"/>
  <c r="J267"/>
  <c r="J266" l="1"/>
  <c r="P266" s="1"/>
  <c r="V266" s="1"/>
  <c r="P267"/>
  <c r="V267" s="1"/>
  <c r="J265" l="1"/>
  <c r="P265" s="1"/>
  <c r="V265" s="1"/>
  <c r="J337" l="1"/>
  <c r="J216"/>
  <c r="J215" l="1"/>
  <c r="P215" s="1"/>
  <c r="V215" s="1"/>
  <c r="P216"/>
  <c r="V216" s="1"/>
  <c r="J336"/>
  <c r="P336" s="1"/>
  <c r="V336" s="1"/>
  <c r="P337"/>
  <c r="V337" s="1"/>
  <c r="J428"/>
  <c r="P428" s="1"/>
  <c r="V428" s="1"/>
  <c r="J427" l="1"/>
  <c r="P427" l="1"/>
  <c r="V427" s="1"/>
  <c r="J426"/>
  <c r="J425" l="1"/>
  <c r="P425" s="1"/>
  <c r="V425" s="1"/>
  <c r="P426"/>
  <c r="V426" s="1"/>
  <c r="J170" l="1"/>
  <c r="P170" s="1"/>
  <c r="V170" s="1"/>
  <c r="J165"/>
  <c r="P165" s="1"/>
  <c r="V165" s="1"/>
  <c r="J149" l="1"/>
  <c r="P149" s="1"/>
  <c r="V149" s="1"/>
  <c r="J283" l="1"/>
  <c r="P283" s="1"/>
  <c r="V283" s="1"/>
  <c r="J207"/>
  <c r="P207" s="1"/>
  <c r="V207" s="1"/>
  <c r="J188"/>
  <c r="P188" s="1"/>
  <c r="V188" s="1"/>
  <c r="J187" l="1"/>
  <c r="P187" s="1"/>
  <c r="V187" s="1"/>
  <c r="J282"/>
  <c r="P282" s="1"/>
  <c r="V282" s="1"/>
  <c r="J206"/>
  <c r="P206" s="1"/>
  <c r="V206" s="1"/>
  <c r="J74" l="1"/>
  <c r="P74" s="1"/>
  <c r="V74" s="1"/>
  <c r="J73" l="1"/>
  <c r="P73" s="1"/>
  <c r="V73" s="1"/>
  <c r="J117"/>
  <c r="P117" s="1"/>
  <c r="V117" s="1"/>
  <c r="J116" l="1"/>
  <c r="P116" s="1"/>
  <c r="V116" s="1"/>
  <c r="J395" l="1"/>
  <c r="J394" l="1"/>
  <c r="P395"/>
  <c r="V395" s="1"/>
  <c r="J390" l="1"/>
  <c r="P390" s="1"/>
  <c r="V390" s="1"/>
  <c r="P394"/>
  <c r="V394" s="1"/>
  <c r="J384" l="1"/>
  <c r="D43" i="6" s="1"/>
  <c r="J383" i="5" l="1"/>
  <c r="P383" s="1"/>
  <c r="V383" s="1"/>
  <c r="P384"/>
  <c r="J111"/>
  <c r="P111" s="1"/>
  <c r="V111" s="1"/>
  <c r="J45"/>
  <c r="P45" s="1"/>
  <c r="V45" s="1"/>
  <c r="V384" l="1"/>
  <c r="P43" i="6" s="1"/>
  <c r="J43"/>
  <c r="D48"/>
  <c r="J48" s="1"/>
  <c r="P48" s="1"/>
  <c r="J110" i="5"/>
  <c r="P110" s="1"/>
  <c r="V110" s="1"/>
  <c r="J44"/>
  <c r="P44" s="1"/>
  <c r="V44" s="1"/>
  <c r="D42" i="6" l="1"/>
  <c r="J42" s="1"/>
  <c r="P42" s="1"/>
  <c r="J139" i="5" l="1"/>
  <c r="P139" s="1"/>
  <c r="V139" s="1"/>
  <c r="J136"/>
  <c r="P136" s="1"/>
  <c r="V136" s="1"/>
  <c r="J138" l="1"/>
  <c r="P138" s="1"/>
  <c r="V138" s="1"/>
  <c r="J135"/>
  <c r="P135" s="1"/>
  <c r="V135" s="1"/>
  <c r="J134" l="1"/>
  <c r="P134" s="1"/>
  <c r="V134" s="1"/>
  <c r="J263"/>
  <c r="P263" s="1"/>
  <c r="V263" s="1"/>
  <c r="J22"/>
  <c r="P22" s="1"/>
  <c r="V22" s="1"/>
  <c r="J21" l="1"/>
  <c r="J262"/>
  <c r="P262" s="1"/>
  <c r="V262" s="1"/>
  <c r="J20" l="1"/>
  <c r="P20" s="1"/>
  <c r="V20" s="1"/>
  <c r="P21"/>
  <c r="V21" s="1"/>
  <c r="J261"/>
  <c r="P261" s="1"/>
  <c r="V261" s="1"/>
  <c r="J57"/>
  <c r="P57" s="1"/>
  <c r="V57" s="1"/>
  <c r="J253"/>
  <c r="P253" s="1"/>
  <c r="V253" s="1"/>
  <c r="J219"/>
  <c r="P219" s="1"/>
  <c r="V219" s="1"/>
  <c r="J194"/>
  <c r="P194" s="1"/>
  <c r="V194" s="1"/>
  <c r="J48"/>
  <c r="P48" s="1"/>
  <c r="V48" s="1"/>
  <c r="J51"/>
  <c r="P51" s="1"/>
  <c r="V51" s="1"/>
  <c r="J114"/>
  <c r="P114" s="1"/>
  <c r="V114" s="1"/>
  <c r="J120"/>
  <c r="P120" s="1"/>
  <c r="V120" s="1"/>
  <c r="J77"/>
  <c r="P77" s="1"/>
  <c r="V77" s="1"/>
  <c r="J80"/>
  <c r="P80" s="1"/>
  <c r="V80" s="1"/>
  <c r="J83"/>
  <c r="P83" s="1"/>
  <c r="V83" s="1"/>
  <c r="J86"/>
  <c r="P86" s="1"/>
  <c r="V86" s="1"/>
  <c r="J247"/>
  <c r="P247" s="1"/>
  <c r="V247" s="1"/>
  <c r="J185"/>
  <c r="P185" s="1"/>
  <c r="V185" s="1"/>
  <c r="J204"/>
  <c r="P204" s="1"/>
  <c r="V204" s="1"/>
  <c r="J210"/>
  <c r="P210" s="1"/>
  <c r="V210" s="1"/>
  <c r="J229"/>
  <c r="P229" s="1"/>
  <c r="V229" s="1"/>
  <c r="J233"/>
  <c r="P233" s="1"/>
  <c r="V233" s="1"/>
  <c r="J277"/>
  <c r="P277" s="1"/>
  <c r="V277" s="1"/>
  <c r="J280"/>
  <c r="P280" s="1"/>
  <c r="V280" s="1"/>
  <c r="J313"/>
  <c r="P313" s="1"/>
  <c r="V313" s="1"/>
  <c r="J317"/>
  <c r="P317" s="1"/>
  <c r="V317" s="1"/>
  <c r="J319"/>
  <c r="P319" s="1"/>
  <c r="V319" s="1"/>
  <c r="J63"/>
  <c r="P63" s="1"/>
  <c r="V63" s="1"/>
  <c r="J163"/>
  <c r="P163" s="1"/>
  <c r="V163" s="1"/>
  <c r="J168"/>
  <c r="P168" s="1"/>
  <c r="V168" s="1"/>
  <c r="J330"/>
  <c r="P330" s="1"/>
  <c r="V330" s="1"/>
  <c r="J340"/>
  <c r="P340" s="1"/>
  <c r="V340" s="1"/>
  <c r="J351"/>
  <c r="P351" s="1"/>
  <c r="V351" s="1"/>
  <c r="J414"/>
  <c r="P414" s="1"/>
  <c r="V414" s="1"/>
  <c r="J416"/>
  <c r="P416" s="1"/>
  <c r="V416" s="1"/>
  <c r="J422"/>
  <c r="P422" s="1"/>
  <c r="V422" s="1"/>
  <c r="J1733"/>
  <c r="J145"/>
  <c r="P145" s="1"/>
  <c r="V145" s="1"/>
  <c r="J147"/>
  <c r="P147" s="1"/>
  <c r="V147" s="1"/>
  <c r="J349"/>
  <c r="P349" s="1"/>
  <c r="V349" s="1"/>
  <c r="J346"/>
  <c r="P346" s="1"/>
  <c r="V346" s="1"/>
  <c r="J367"/>
  <c r="J1736"/>
  <c r="P1736" s="1"/>
  <c r="V1736" s="1"/>
  <c r="J1738"/>
  <c r="P1738" s="1"/>
  <c r="V1738" s="1"/>
  <c r="J1748"/>
  <c r="P1748" s="1"/>
  <c r="V1748" s="1"/>
  <c r="J1750"/>
  <c r="P1750" s="1"/>
  <c r="V1750" s="1"/>
  <c r="D77" i="6"/>
  <c r="J77" s="1"/>
  <c r="P77" s="1"/>
  <c r="J19" i="5" l="1"/>
  <c r="J1732"/>
  <c r="P1732" s="1"/>
  <c r="V1732" s="1"/>
  <c r="P1733"/>
  <c r="V1733" s="1"/>
  <c r="J366"/>
  <c r="P366" s="1"/>
  <c r="V366" s="1"/>
  <c r="P367"/>
  <c r="V367" s="1"/>
  <c r="J1747"/>
  <c r="J316"/>
  <c r="P316" s="1"/>
  <c r="V316" s="1"/>
  <c r="J203"/>
  <c r="P203" s="1"/>
  <c r="V203" s="1"/>
  <c r="J79"/>
  <c r="P79" s="1"/>
  <c r="V79" s="1"/>
  <c r="J413"/>
  <c r="J1735"/>
  <c r="P1735" s="1"/>
  <c r="V1735" s="1"/>
  <c r="J144"/>
  <c r="P144" s="1"/>
  <c r="V144" s="1"/>
  <c r="J162"/>
  <c r="P162" s="1"/>
  <c r="V162" s="1"/>
  <c r="J167"/>
  <c r="P167" s="1"/>
  <c r="V167" s="1"/>
  <c r="J345"/>
  <c r="P345" s="1"/>
  <c r="V345" s="1"/>
  <c r="J228"/>
  <c r="J421"/>
  <c r="P421" s="1"/>
  <c r="V421" s="1"/>
  <c r="J329"/>
  <c r="J285"/>
  <c r="P285" s="1"/>
  <c r="V285" s="1"/>
  <c r="J232"/>
  <c r="P232" s="1"/>
  <c r="V232" s="1"/>
  <c r="J209"/>
  <c r="P209" s="1"/>
  <c r="V209" s="1"/>
  <c r="J184"/>
  <c r="P184" s="1"/>
  <c r="V184" s="1"/>
  <c r="J82"/>
  <c r="P82" s="1"/>
  <c r="V82" s="1"/>
  <c r="J252"/>
  <c r="P252" s="1"/>
  <c r="V252" s="1"/>
  <c r="J339"/>
  <c r="J332" s="1"/>
  <c r="J62"/>
  <c r="P62" s="1"/>
  <c r="V62" s="1"/>
  <c r="J312"/>
  <c r="P312" s="1"/>
  <c r="V312" s="1"/>
  <c r="J276"/>
  <c r="P276" s="1"/>
  <c r="V276" s="1"/>
  <c r="J246"/>
  <c r="P246" s="1"/>
  <c r="V246" s="1"/>
  <c r="J76"/>
  <c r="J113"/>
  <c r="P113" s="1"/>
  <c r="V113" s="1"/>
  <c r="J47"/>
  <c r="P47" s="1"/>
  <c r="V47" s="1"/>
  <c r="J218"/>
  <c r="P218" s="1"/>
  <c r="V218" s="1"/>
  <c r="J56"/>
  <c r="P56" s="1"/>
  <c r="V56" s="1"/>
  <c r="J279"/>
  <c r="P279" s="1"/>
  <c r="V279" s="1"/>
  <c r="J85"/>
  <c r="P85" s="1"/>
  <c r="V85" s="1"/>
  <c r="J119"/>
  <c r="P119" s="1"/>
  <c r="V119" s="1"/>
  <c r="J50"/>
  <c r="P50" s="1"/>
  <c r="V50" s="1"/>
  <c r="J193"/>
  <c r="P193" s="1"/>
  <c r="V193" s="1"/>
  <c r="J348"/>
  <c r="P348" s="1"/>
  <c r="V348" s="1"/>
  <c r="P19" l="1"/>
  <c r="P329"/>
  <c r="V329" s="1"/>
  <c r="J325"/>
  <c r="P325" s="1"/>
  <c r="V325" s="1"/>
  <c r="P76"/>
  <c r="V76" s="1"/>
  <c r="J69"/>
  <c r="P69" s="1"/>
  <c r="V69" s="1"/>
  <c r="P332"/>
  <c r="V332" s="1"/>
  <c r="P339"/>
  <c r="V339" s="1"/>
  <c r="J227"/>
  <c r="P227" s="1"/>
  <c r="V227" s="1"/>
  <c r="P228"/>
  <c r="V228" s="1"/>
  <c r="J1746"/>
  <c r="P1746" s="1"/>
  <c r="V1746" s="1"/>
  <c r="P1747"/>
  <c r="V1747" s="1"/>
  <c r="J412"/>
  <c r="P413"/>
  <c r="V413" s="1"/>
  <c r="J357"/>
  <c r="J183"/>
  <c r="P183" s="1"/>
  <c r="V183" s="1"/>
  <c r="J106"/>
  <c r="P106" s="1"/>
  <c r="V106" s="1"/>
  <c r="J238"/>
  <c r="P238" s="1"/>
  <c r="V238" s="1"/>
  <c r="J272"/>
  <c r="P272" s="1"/>
  <c r="V272" s="1"/>
  <c r="J202"/>
  <c r="P202" s="1"/>
  <c r="V202" s="1"/>
  <c r="J43"/>
  <c r="P43" s="1"/>
  <c r="V43" s="1"/>
  <c r="J161"/>
  <c r="P161" s="1"/>
  <c r="V161" s="1"/>
  <c r="J61"/>
  <c r="P61" s="1"/>
  <c r="V61" s="1"/>
  <c r="J344"/>
  <c r="P344" s="1"/>
  <c r="V344" s="1"/>
  <c r="J143"/>
  <c r="P143" s="1"/>
  <c r="V143" s="1"/>
  <c r="J294"/>
  <c r="P294" s="1"/>
  <c r="V294" s="1"/>
  <c r="J1731"/>
  <c r="P1731" s="1"/>
  <c r="V1731" s="1"/>
  <c r="J315"/>
  <c r="P315" s="1"/>
  <c r="V315" s="1"/>
  <c r="J420"/>
  <c r="P420" s="1"/>
  <c r="V420" s="1"/>
  <c r="J311"/>
  <c r="P311" s="1"/>
  <c r="V311" s="1"/>
  <c r="J231"/>
  <c r="P231" s="1"/>
  <c r="V231" s="1"/>
  <c r="V19" l="1"/>
  <c r="J68"/>
  <c r="J356"/>
  <c r="D25" i="6" s="1"/>
  <c r="P357" i="5"/>
  <c r="V357" s="1"/>
  <c r="J411"/>
  <c r="P411" s="1"/>
  <c r="V411" s="1"/>
  <c r="P412"/>
  <c r="V412" s="1"/>
  <c r="J293"/>
  <c r="P293" s="1"/>
  <c r="V293" s="1"/>
  <c r="J201"/>
  <c r="P201" s="1"/>
  <c r="V201" s="1"/>
  <c r="J237"/>
  <c r="P237" s="1"/>
  <c r="V237" s="1"/>
  <c r="J160"/>
  <c r="P160" s="1"/>
  <c r="V160" s="1"/>
  <c r="J182"/>
  <c r="P182" s="1"/>
  <c r="V182" s="1"/>
  <c r="J271"/>
  <c r="P271" s="1"/>
  <c r="V271" s="1"/>
  <c r="J42"/>
  <c r="P42" s="1"/>
  <c r="V42" s="1"/>
  <c r="J324"/>
  <c r="P324" s="1"/>
  <c r="V324" s="1"/>
  <c r="J1745"/>
  <c r="J419"/>
  <c r="P419" s="1"/>
  <c r="V419" s="1"/>
  <c r="J1730"/>
  <c r="J142"/>
  <c r="P142" s="1"/>
  <c r="V142" s="1"/>
  <c r="J343"/>
  <c r="P343" s="1"/>
  <c r="V343" s="1"/>
  <c r="J60"/>
  <c r="P60" s="1"/>
  <c r="V60" s="1"/>
  <c r="J18"/>
  <c r="P18" s="1"/>
  <c r="V18" s="1"/>
  <c r="J1729" l="1"/>
  <c r="P1730"/>
  <c r="V1730" s="1"/>
  <c r="J1744"/>
  <c r="P1744" s="1"/>
  <c r="V1744" s="1"/>
  <c r="P1745"/>
  <c r="V1745" s="1"/>
  <c r="J67"/>
  <c r="P67" s="1"/>
  <c r="V67" s="1"/>
  <c r="P68"/>
  <c r="V68" s="1"/>
  <c r="J355"/>
  <c r="P356"/>
  <c r="J41"/>
  <c r="P41" s="1"/>
  <c r="V41" s="1"/>
  <c r="J1757"/>
  <c r="J236"/>
  <c r="P236" s="1"/>
  <c r="V236" s="1"/>
  <c r="D73" i="6"/>
  <c r="J73" s="1"/>
  <c r="P73" s="1"/>
  <c r="J200" i="5"/>
  <c r="D54" i="6" s="1"/>
  <c r="J410" i="5"/>
  <c r="J270"/>
  <c r="P270" s="1"/>
  <c r="V270" s="1"/>
  <c r="J159"/>
  <c r="P159" s="1"/>
  <c r="V159" s="1"/>
  <c r="J181"/>
  <c r="P181" s="1"/>
  <c r="V181" s="1"/>
  <c r="D61" i="6"/>
  <c r="J61" s="1"/>
  <c r="P61" s="1"/>
  <c r="J323" i="5"/>
  <c r="D69" i="6" s="1"/>
  <c r="D19"/>
  <c r="J19" s="1"/>
  <c r="P19" s="1"/>
  <c r="D24"/>
  <c r="J24" s="1"/>
  <c r="P24" s="1"/>
  <c r="J292" i="5"/>
  <c r="P292" s="1"/>
  <c r="V292" s="1"/>
  <c r="D70" i="6"/>
  <c r="J70" s="1"/>
  <c r="P70" s="1"/>
  <c r="V356" i="5" l="1"/>
  <c r="P25" i="6" s="1"/>
  <c r="J25"/>
  <c r="J1743" i="5"/>
  <c r="P1743" s="1"/>
  <c r="V1743" s="1"/>
  <c r="J1728"/>
  <c r="P1728" s="1"/>
  <c r="V1728" s="1"/>
  <c r="P1729"/>
  <c r="V1729" s="1"/>
  <c r="P323"/>
  <c r="J408"/>
  <c r="P408" s="1"/>
  <c r="V408" s="1"/>
  <c r="P410"/>
  <c r="V410" s="1"/>
  <c r="J354"/>
  <c r="P354" s="1"/>
  <c r="V354" s="1"/>
  <c r="P355"/>
  <c r="V355" s="1"/>
  <c r="P200"/>
  <c r="J180"/>
  <c r="P180" s="1"/>
  <c r="V180" s="1"/>
  <c r="D53" i="6"/>
  <c r="J53" s="1"/>
  <c r="P53" s="1"/>
  <c r="D60"/>
  <c r="J60" s="1"/>
  <c r="P60" s="1"/>
  <c r="D72"/>
  <c r="J72" s="1"/>
  <c r="P72" s="1"/>
  <c r="D22"/>
  <c r="J22" s="1"/>
  <c r="P22" s="1"/>
  <c r="D56"/>
  <c r="J56" s="1"/>
  <c r="P56" s="1"/>
  <c r="J66" i="5"/>
  <c r="P66" s="1"/>
  <c r="V66" s="1"/>
  <c r="J40"/>
  <c r="D55" i="6"/>
  <c r="J55" s="1"/>
  <c r="P55" s="1"/>
  <c r="D57"/>
  <c r="J57" s="1"/>
  <c r="P57" s="1"/>
  <c r="D30"/>
  <c r="J30" s="1"/>
  <c r="P30" s="1"/>
  <c r="J322" i="5"/>
  <c r="P322" s="1"/>
  <c r="V322" s="1"/>
  <c r="D36" i="6"/>
  <c r="J36" s="1"/>
  <c r="P36" s="1"/>
  <c r="V200" i="5" l="1"/>
  <c r="P54" i="6" s="1"/>
  <c r="J54"/>
  <c r="V323" i="5"/>
  <c r="P69" i="6" s="1"/>
  <c r="J69"/>
  <c r="J407" i="5"/>
  <c r="P407" s="1"/>
  <c r="V407" s="1"/>
  <c r="J17"/>
  <c r="P40"/>
  <c r="V40" s="1"/>
  <c r="D27" i="6"/>
  <c r="J27" s="1"/>
  <c r="P27" s="1"/>
  <c r="D17"/>
  <c r="J17" s="1"/>
  <c r="P17" s="1"/>
  <c r="D80"/>
  <c r="J80" s="1"/>
  <c r="P80" s="1"/>
  <c r="D52"/>
  <c r="J52" s="1"/>
  <c r="P52" s="1"/>
  <c r="D59"/>
  <c r="J59" s="1"/>
  <c r="P59" s="1"/>
  <c r="D66"/>
  <c r="J66" s="1"/>
  <c r="P66" s="1"/>
  <c r="D63"/>
  <c r="J63" s="1"/>
  <c r="P63" s="1"/>
  <c r="J179" i="5"/>
  <c r="P179" s="1"/>
  <c r="V179" s="1"/>
  <c r="P17" l="1"/>
  <c r="J1756"/>
  <c r="D83" i="6"/>
  <c r="J83" s="1"/>
  <c r="P83" s="1"/>
  <c r="V17" i="5" l="1"/>
  <c r="V1756" s="1"/>
  <c r="P1756"/>
  <c r="J1769"/>
</calcChain>
</file>

<file path=xl/comments1.xml><?xml version="1.0" encoding="utf-8"?>
<comments xmlns="http://schemas.openxmlformats.org/spreadsheetml/2006/main">
  <authors>
    <author>Татьяна</author>
  </authors>
  <commentList>
    <comment ref="N714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плюсом только 252499</t>
        </r>
      </text>
    </comment>
    <comment ref="N105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плюсом только 252499</t>
        </r>
      </text>
    </comment>
    <comment ref="N1205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плюсом только 252499</t>
        </r>
      </text>
    </comment>
  </commentList>
</comments>
</file>

<file path=xl/sharedStrings.xml><?xml version="1.0" encoding="utf-8"?>
<sst xmlns="http://schemas.openxmlformats.org/spreadsheetml/2006/main" count="13538" uniqueCount="476">
  <si>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</si>
  <si>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</si>
  <si>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07</t>
  </si>
  <si>
    <t>06</t>
  </si>
  <si>
    <t>Физическая культура и спорт</t>
  </si>
  <si>
    <t>Социальная политика</t>
  </si>
  <si>
    <t>Пенсионное обеспечение</t>
  </si>
  <si>
    <t>Социальное обеспечение населения</t>
  </si>
  <si>
    <t>Дошкольное образование</t>
  </si>
  <si>
    <t>Целевая статья</t>
  </si>
  <si>
    <t>Наименование</t>
  </si>
  <si>
    <t>Раз-дел</t>
  </si>
  <si>
    <t>Под-раз-дел</t>
  </si>
  <si>
    <t>03</t>
  </si>
  <si>
    <t>09</t>
  </si>
  <si>
    <t>Национальная экономика</t>
  </si>
  <si>
    <t>04</t>
  </si>
  <si>
    <t>02</t>
  </si>
  <si>
    <t>05</t>
  </si>
  <si>
    <t>11</t>
  </si>
  <si>
    <t>01</t>
  </si>
  <si>
    <t>Охрана семьи и детства</t>
  </si>
  <si>
    <t>Резервные фонды</t>
  </si>
  <si>
    <t>Транспорт</t>
  </si>
  <si>
    <t>Образование</t>
  </si>
  <si>
    <t>Общее образование</t>
  </si>
  <si>
    <t>Национальная безопасность и правоохранительная деятельность</t>
  </si>
  <si>
    <t>08</t>
  </si>
  <si>
    <t>Культура</t>
  </si>
  <si>
    <t>14</t>
  </si>
  <si>
    <t>10</t>
  </si>
  <si>
    <t>12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</si>
  <si>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</si>
  <si>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</si>
  <si>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</si>
  <si>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образования</t>
  </si>
  <si>
    <t>Сельское хозяйство и рыболовство</t>
  </si>
  <si>
    <t>Другие вопросы в области национальной экономики</t>
  </si>
  <si>
    <t>7</t>
  </si>
  <si>
    <t>ВСЕГО</t>
  </si>
  <si>
    <t>Глава</t>
  </si>
  <si>
    <t>017</t>
  </si>
  <si>
    <t>015</t>
  </si>
  <si>
    <t>к решению Собрания депутатов</t>
  </si>
  <si>
    <t>4</t>
  </si>
  <si>
    <t>Функционирование высшего должностного лица субъекта Российской Федерации и муниципального образования</t>
  </si>
  <si>
    <t>Жилищно-коммунальное хозяйство</t>
  </si>
  <si>
    <t xml:space="preserve">Коммунальное хозяйство </t>
  </si>
  <si>
    <t>Вид расхо-дов</t>
  </si>
  <si>
    <t>13</t>
  </si>
  <si>
    <t>Другие вопросы в области культуры, кинематографии</t>
  </si>
  <si>
    <t xml:space="preserve">Физическая культура 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</si>
  <si>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</si>
  <si>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Культура и кинематография</t>
  </si>
  <si>
    <t>Национальная оборона</t>
  </si>
  <si>
    <t>Мобилизационная и вневойсковая подготовка</t>
  </si>
  <si>
    <t>Средства массовой информации</t>
  </si>
  <si>
    <t>Телевидение и радиовещание</t>
  </si>
  <si>
    <t>Осуществление государственных полномочий по выплате вознаграждений профессиональным опекунам</t>
  </si>
  <si>
    <t>Другие вопросы в области социальной политики</t>
  </si>
  <si>
    <t>Дорожное хозяйство (дорожные фонды)</t>
  </si>
  <si>
    <t>Жилищное хозяйство</t>
  </si>
  <si>
    <t>Осуществление государственных полномочий по формированию торгового реестра</t>
  </si>
  <si>
    <t>028</t>
  </si>
  <si>
    <t>Обеспечение проведения выборов и референдумов</t>
  </si>
  <si>
    <t>Охрана окружающей среды</t>
  </si>
  <si>
    <t>Охрана объектов растительного и животного мира и среды их обитания</t>
  </si>
  <si>
    <t>6</t>
  </si>
  <si>
    <t>Благоустройство</t>
  </si>
  <si>
    <t>Массовый спорт</t>
  </si>
  <si>
    <t>0</t>
  </si>
  <si>
    <t>600</t>
  </si>
  <si>
    <t>Предоставление субсидий бюджетным, автономным учреждениям и иным некоммерческим организациям</t>
  </si>
  <si>
    <t>Компенсация части родительской платы за присмотр и уход за ребенком в государственных и муниципальных образовательных организациях, реализующих образовательную программу дошкольного образования</t>
  </si>
  <si>
    <t>610</t>
  </si>
  <si>
    <t>Субсидии бюджетным учреждениям</t>
  </si>
  <si>
    <t>Осуществление государственных полномочий в сфере охраны труда</t>
  </si>
  <si>
    <t>800</t>
  </si>
  <si>
    <t>810</t>
  </si>
  <si>
    <t>Доставка муки и лекарственных средств в районы Крайнего Севера и приравненные к ним местности с ограниченными сроками завоза грузов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</si>
  <si>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</si>
  <si>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</si>
  <si>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50</t>
  </si>
  <si>
    <t>Непрограммные расходы</t>
  </si>
  <si>
    <t xml:space="preserve">Непрограммные расходы </t>
  </si>
  <si>
    <t>15</t>
  </si>
  <si>
    <t>Обеспечение деятельности библиотек</t>
  </si>
  <si>
    <t>Расходы на содержание органов местного самоуправления и обеспечение их функций</t>
  </si>
  <si>
    <t>Мероприятия в области образования</t>
  </si>
  <si>
    <t xml:space="preserve">Обеспечение деятельности детского оздоровительно-образовательного центра "Стрела"  </t>
  </si>
  <si>
    <t>Представительские расходы</t>
  </si>
  <si>
    <t>Расходы на обеспечение деятельности казенных учреждений</t>
  </si>
  <si>
    <t>100</t>
  </si>
  <si>
    <t>110</t>
  </si>
  <si>
    <t>200</t>
  </si>
  <si>
    <t>240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</si>
  <si>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</si>
  <si>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</si>
  <si>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Иные закупки товаров, работ и услуг для обеспечения государственных (муниципальных) нужд</t>
  </si>
  <si>
    <t>300</t>
  </si>
  <si>
    <t>Социальное обеспечение и иные выплаты населению</t>
  </si>
  <si>
    <t>Организация отдыха детей в каникулярное время</t>
  </si>
  <si>
    <t>120</t>
  </si>
  <si>
    <t>Расходы на выплаты персоналу государственных (муниципальных) органов</t>
  </si>
  <si>
    <t>870</t>
  </si>
  <si>
    <t>Резервные средства</t>
  </si>
  <si>
    <t>Социальные выплаты гражданам, кроме публичных нормативных социальных выплат</t>
  </si>
  <si>
    <t>320</t>
  </si>
  <si>
    <t>Социальные помощь</t>
  </si>
  <si>
    <t>Обслуживание муниципального долга</t>
  </si>
  <si>
    <t>700</t>
  </si>
  <si>
    <t>730</t>
  </si>
  <si>
    <t>Обслуживание государственного (муниципального) долга</t>
  </si>
  <si>
    <t>3</t>
  </si>
  <si>
    <t>5</t>
  </si>
  <si>
    <t>Программы</t>
  </si>
  <si>
    <t>360</t>
  </si>
  <si>
    <t>Иные выплаты населению</t>
  </si>
  <si>
    <t>400</t>
  </si>
  <si>
    <t>410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</si>
  <si>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</si>
  <si>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</si>
  <si>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Проведение мероприятий  для молодежи</t>
  </si>
  <si>
    <t>Проведение мероприятий профилактической направленности для несовершеннолетних</t>
  </si>
  <si>
    <t>850</t>
  </si>
  <si>
    <t>Уплата налогов, сборов и иных платежей</t>
  </si>
  <si>
    <t>Спорт высших достижений</t>
  </si>
  <si>
    <t>1</t>
  </si>
  <si>
    <t>Здравоохранение</t>
  </si>
  <si>
    <t>Другие вопросы в области здравоохранения</t>
  </si>
  <si>
    <t>прогр</t>
  </si>
  <si>
    <t>Подпрограмма "Организация предоставления дополнительного образования в ДШИ №15, поддержка и развитие детского и юношеского творчества"</t>
  </si>
  <si>
    <t>Поддержка и развитие детского юношеского творчества</t>
  </si>
  <si>
    <t>Обеспечение деятельности ДШИ № 15</t>
  </si>
  <si>
    <t>2</t>
  </si>
  <si>
    <t>Подпрограмма «Организация библиотечной деятельности и информационного обслуживания»</t>
  </si>
  <si>
    <t>Подпрограмма «Сохранение и развитие традиционной народной культуры, историко-культурного наследия, самодеятельного художественного творчества, культурно-досуговой деятельности»</t>
  </si>
  <si>
    <t>Участие в областных и всероссийских соревнованиях</t>
  </si>
  <si>
    <t>Органы внутренних дел</t>
  </si>
  <si>
    <t>Подпрограмма «Повышение доступности и качества дошкольного образования»</t>
  </si>
  <si>
    <t xml:space="preserve">Обеспечение деятельности образовательных учреждений, реализующих программы дошкольного образования </t>
  </si>
  <si>
    <t>Подпрограмма «Развитие системы выявления, поддержки и сопровождения одаренных и талантливых детей»</t>
  </si>
  <si>
    <t>Подпрограмма «Повышение доступности и качества общего образования»</t>
  </si>
  <si>
    <t>Обеспечение деятельности образовательных учреждений, реализующих программы начального общего, основного общего, среднего общего образования</t>
  </si>
  <si>
    <t>Подпрограмма «Повышение доступности и качества дополнительного образования»</t>
  </si>
  <si>
    <t>Обеспечение деятельности образовательных учреждений, реализующих программы дополнительного образования</t>
  </si>
  <si>
    <t>Подпрограмма «Содействие повышению квалификации и переподготовки руководящих и педагогических кадров»</t>
  </si>
  <si>
    <t>Подпрограмма «Создание условий для сохранения и укрепления здоровья детей»</t>
  </si>
  <si>
    <t>00</t>
  </si>
  <si>
    <t>00000</t>
  </si>
  <si>
    <t>25130</t>
  </si>
  <si>
    <t>25140</t>
  </si>
  <si>
    <t>25410</t>
  </si>
  <si>
    <t>25010</t>
  </si>
  <si>
    <t>25080</t>
  </si>
  <si>
    <t>25100</t>
  </si>
  <si>
    <t>27050</t>
  </si>
  <si>
    <t>25090</t>
  </si>
  <si>
    <t>20030</t>
  </si>
  <si>
    <t>27340</t>
  </si>
  <si>
    <t>27350</t>
  </si>
  <si>
    <t>24090</t>
  </si>
  <si>
    <t>24140</t>
  </si>
  <si>
    <t>24100</t>
  </si>
  <si>
    <t>24210</t>
  </si>
  <si>
    <t>24120</t>
  </si>
  <si>
    <t>24190</t>
  </si>
  <si>
    <t>78320</t>
  </si>
  <si>
    <t>78650</t>
  </si>
  <si>
    <t>78730</t>
  </si>
  <si>
    <t>20020</t>
  </si>
  <si>
    <t>20060</t>
  </si>
  <si>
    <t>20070</t>
  </si>
  <si>
    <t>78700</t>
  </si>
  <si>
    <t>20120</t>
  </si>
  <si>
    <t>78690</t>
  </si>
  <si>
    <t>78710</t>
  </si>
  <si>
    <t>20110</t>
  </si>
  <si>
    <t>22230</t>
  </si>
  <si>
    <t>23030</t>
  </si>
  <si>
    <t>27040</t>
  </si>
  <si>
    <t>27030</t>
  </si>
  <si>
    <t>27100</t>
  </si>
  <si>
    <t>27110</t>
  </si>
  <si>
    <t>27060</t>
  </si>
  <si>
    <t>21060</t>
  </si>
  <si>
    <t>21110</t>
  </si>
  <si>
    <t>21750</t>
  </si>
  <si>
    <t>21180</t>
  </si>
  <si>
    <t>Обеспечение деятельности туристского культурно-музейного центра «Кимжа»</t>
  </si>
  <si>
    <t>21010</t>
  </si>
  <si>
    <t>Судебная система</t>
  </si>
  <si>
    <t>Другие вопросы в области национальной безопасности и правоохранительной деятельности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</si>
  <si>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</si>
  <si>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16</t>
  </si>
  <si>
    <t>27450</t>
  </si>
  <si>
    <t>20</t>
  </si>
  <si>
    <t>Выплата единовременного пособия молодым специалистам</t>
  </si>
  <si>
    <t>20500</t>
  </si>
  <si>
    <t xml:space="preserve">Молодежная политика </t>
  </si>
  <si>
    <t>Молодежная политика</t>
  </si>
  <si>
    <t>Культура, кинематография</t>
  </si>
  <si>
    <t>Другие вопросы в области культуры , кинематографии</t>
  </si>
  <si>
    <t>Дополнительное образование детей</t>
  </si>
  <si>
    <t>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</si>
  <si>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</si>
  <si>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78390</t>
  </si>
  <si>
    <t>24110</t>
  </si>
  <si>
    <t>Трудоустройство несовершеннолетних граждан в период каникулярного времени</t>
  </si>
  <si>
    <t>S8330</t>
  </si>
  <si>
    <t>20010</t>
  </si>
  <si>
    <t>Подпрограмма "Капитальный, текущий ремонты и реконструкция"</t>
  </si>
  <si>
    <t>Капитальный, текущий ремонты зданий находящихся в муниципальной собственности</t>
  </si>
  <si>
    <t>26030</t>
  </si>
  <si>
    <t>18</t>
  </si>
  <si>
    <t>Подпрограмма «Жилищное строительство»</t>
  </si>
  <si>
    <t>Подпрограмма «Инженерная инфраструктура»</t>
  </si>
  <si>
    <t>Другие вопросы в области охраны окружающей среды</t>
  </si>
  <si>
    <t>78791</t>
  </si>
  <si>
    <t>78792</t>
  </si>
  <si>
    <t>78270</t>
  </si>
  <si>
    <t xml:space="preserve">Выплата пенсии за выслугу лет лицам, замещавшим муниципальные должности </t>
  </si>
  <si>
    <t>350</t>
  </si>
  <si>
    <t>Премии и гранты</t>
  </si>
  <si>
    <t xml:space="preserve">Подпрограмма «Капитальный, текущий ремонты и реконструкция» </t>
  </si>
  <si>
    <t>23570</t>
  </si>
  <si>
    <t>24220</t>
  </si>
  <si>
    <t>21530</t>
  </si>
  <si>
    <t>Финансовая поддержка субъектов малого и среднего предпринимательства</t>
  </si>
  <si>
    <t>Гражданская оборона</t>
  </si>
  <si>
    <t>Защита населения и территории от последствий чрезвычайных ситуаций природного и техногенного характера, пожарная безопасность</t>
  </si>
  <si>
    <t>Осуществление переданых органам местного самоуправления муниципальных образований Архангнльской области государственных полномочий Архангельской области по созданию муниципальных комиссий по делам несовершеннолетних и защите их прав</t>
  </si>
  <si>
    <t>78793</t>
  </si>
  <si>
    <t>Осуществление переданых органам местного самоуправления муниципальных образований Архангнльской области государственных полномочий Архангельской области в сфере административных правонарушений</t>
  </si>
  <si>
    <t>20100</t>
  </si>
  <si>
    <t>Резервные средства для финансового обеспечения расходов в целях софинансирования субсидий и иных межбюджетных трансфертов, поступающих из областного бюджета</t>
  </si>
  <si>
    <t>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</si>
  <si>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</si>
  <si>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L3042</t>
  </si>
  <si>
    <t>Другие вопросы в области жилищно-коммунального хозяйства</t>
  </si>
  <si>
    <t>Расходы на проведение мероприятий за счет благотворительной помощи</t>
  </si>
  <si>
    <t>27400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</si>
  <si>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</si>
  <si>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78621</t>
  </si>
  <si>
    <t>78622</t>
  </si>
  <si>
    <t>24080</t>
  </si>
  <si>
    <t>620</t>
  </si>
  <si>
    <t>630</t>
  </si>
  <si>
    <t>Обеспечение функционирования модели персонифицированного финансирования дополнительного образования детей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</si>
  <si>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</si>
  <si>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</si>
  <si>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</si>
  <si>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310</t>
  </si>
  <si>
    <t>Публичные нормативные социальные выплаты гражданам</t>
  </si>
  <si>
    <t>S6560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</si>
  <si>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</si>
  <si>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F3</t>
  </si>
  <si>
    <t>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</si>
  <si>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</si>
  <si>
    <t>67484</t>
  </si>
  <si>
    <t>Закупка товаров, работ и услуг для обеспечения государственных (муниципальных) нужд</t>
  </si>
  <si>
    <t>Обслуживание государственного (муниципального) внутреннего долга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</si>
  <si>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</si>
  <si>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78240</t>
  </si>
  <si>
    <t>Государственная поддержка отрасли культуры (реализация мероприятий по модернизации библиотек в части комплектования книжных фондов муниципальных библиотек)</t>
  </si>
  <si>
    <t>L5198</t>
  </si>
  <si>
    <t>20830</t>
  </si>
  <si>
    <t>23050</t>
  </si>
  <si>
    <t>22030</t>
  </si>
  <si>
    <t>21580</t>
  </si>
  <si>
    <t>Обеспечение земельных участков, предоставленных многодетным семьям, коммунальной и инженерной инфраструктуры</t>
  </si>
  <si>
    <t>20510</t>
  </si>
  <si>
    <t>024</t>
  </si>
  <si>
    <t>Приложение № 4</t>
  </si>
  <si>
    <t>Расходы на обеспечение деятельности контрольно-счетной комиссии</t>
  </si>
  <si>
    <t>20240</t>
  </si>
  <si>
    <t>2023 год</t>
  </si>
  <si>
    <t>2024 год</t>
  </si>
  <si>
    <t>2025 год</t>
  </si>
  <si>
    <t>Всего</t>
  </si>
  <si>
    <t>Подпрограмма «Повышение доступности и качества
 общего образования»</t>
  </si>
  <si>
    <t>Муниципальная программа «Развитие туризма на территории Мезенского муниципального округа Архангельской области на 2023 – 2025 годы»</t>
  </si>
  <si>
    <t>Муниципальная программа «Развитие сферы культуры Мезенского муниципального округа Архангельской области на 2023 – 2025 годы»</t>
  </si>
  <si>
    <t>Муниципальная программа «Молодёжь Мезенского муниципального округа Архангельской области на 2023 – 2025 годы»</t>
  </si>
  <si>
    <t>Муниципальная программа «Развитие физической культуры и спорта на территории Мезенского муниципального округа Архангельской области на 2023 – 2025 годы»</t>
  </si>
  <si>
    <t xml:space="preserve">Муниципальная программа «Развитие образования в Мезенском муниципальном округе Архангельской области на 2023 – 2025 годы» </t>
  </si>
  <si>
    <t>Муниципальная программа «Комплексное развитие сельских территорий Мезенского муниципального округа Архангельской области на 2023 – 2025 годы»</t>
  </si>
  <si>
    <t>Муниципальная программа «Развитие имущественно - земельных отношений в Мезенском муниципальном округе Архангельской области на 2023 – 2025 годы»</t>
  </si>
  <si>
    <t>Муниципальная программа «Экономическое развитие и инвестиционная деятельность на территории Мезенского муниципального округа Архангельской области на 2023 – 2025 годы»</t>
  </si>
  <si>
    <t>Муниципальная программа «Развитие строительства, капитальный и текущий ремонты объектов на территории Мезенского муниципального округа Архангельской области на 2023-2025 годы»</t>
  </si>
  <si>
    <t>Муниципальная программа «Защита населения и территории Мезенского муниципального округа Архангельской области от чрезвычайных ситуаций природного и техногенного характера, обеспечение пожарной безопасности и безопасности людей на водных объектах на 2023 – 2025 годы»</t>
  </si>
  <si>
    <t>Муниципальная программа «Профилактика правонарушений в Мезенском муниципальном округе Архангельской области на 2023 – 2025 годы»</t>
  </si>
  <si>
    <t>Муниципальная программа «Обеспечение экологической безопасности на территории Мезенского муниципального округа Архангельской области на 2023 - 2025 годы»</t>
  </si>
  <si>
    <t>Муниципальная программа «Профилактика безнадзорности и правонарушений несовершеннолетних на территории Мезенского муниципального округа Архангельской области на 2023 – 2025 годы»</t>
  </si>
  <si>
    <t>Муниципальная программа «Управление муниципальными финансами и муниципальным долгом Мезенского муниципального округа Архангельской области на 2023 – 2025 годы»</t>
  </si>
  <si>
    <t>Подпрограмма «Управление муниципальным долгом Мезенского муниципального округа»</t>
  </si>
  <si>
    <t>Подпрограмма «Организация и обеспечение бюджетного процесса в Мезенском муниципальном округе»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</si>
  <si>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</si>
  <si>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S6450</t>
  </si>
  <si>
    <t>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 Архангельской области</t>
  </si>
  <si>
    <t>Создание условий для обеспечения поселений и жителей муниципальных и городских округов услугами торговли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</si>
  <si>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</si>
  <si>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S6820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</si>
  <si>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</si>
  <si>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Осуществление первичного воинского учета на территориях, где отсутствуют военные комиссариаты</t>
  </si>
  <si>
    <t>51180</t>
  </si>
  <si>
    <t>78630</t>
  </si>
  <si>
    <t>Мера социальной поддержки отдельным категориям лиц, замещавших муниципальные должности, в случае досрочного прекращения их полномочий в связи с созданием муниципального округа Архангельской области</t>
  </si>
  <si>
    <t xml:space="preserve">Развитие территориального общественного самоуправления Архангельской области </t>
  </si>
  <si>
    <t>S8420</t>
  </si>
  <si>
    <t>Муниципальная программа «Развитие территориального общественного самоуправления в Мезенском муниципальном округе Архангельской области на 2023 – 2025 годы»</t>
  </si>
  <si>
    <t>78160</t>
  </si>
  <si>
    <t>Реализация мероприятий по социально-экономическому развитию муниципальных округов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</si>
  <si>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</si>
  <si>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Подпрограмма «Развитие туристского культурно-музейного центра «Кимжа»</t>
  </si>
  <si>
    <t>Мероприятия в области туризма</t>
  </si>
  <si>
    <t>19</t>
  </si>
  <si>
    <t>20200</t>
  </si>
  <si>
    <t>Муниципальная программа «Развитие гражданского общества и поддержка социально ориентированных некоммерческих организаций Мезенского муниципального округа Архангельской области на 2023 – 2025 годы»</t>
  </si>
  <si>
    <t>17</t>
  </si>
  <si>
    <t>L4970</t>
  </si>
  <si>
    <t>Муниципальная программа «Обеспечение жильём молодых семей Мезенского муниципального округа Архангельской области на 2023 – 2025 годы»</t>
  </si>
  <si>
    <t>Реализация мероприятий по обеспечению жильем молодых семей</t>
  </si>
  <si>
    <t>20090</t>
  </si>
  <si>
    <t>Паспортизация, инвентаризация и оценка технического состояния муниципального имущества</t>
  </si>
  <si>
    <t>Выполнение кадастровых работ</t>
  </si>
  <si>
    <t>Взносы на капитальный ремонт многоквартирных домов,  находящихся в муниципальной собственности</t>
  </si>
  <si>
    <t>20080</t>
  </si>
  <si>
    <t>Председатель представительного органа муниципального округа</t>
  </si>
  <si>
    <t>Расходы на обеспечение деятельности представительного органа муниципального округа</t>
  </si>
  <si>
    <t>Глава муниципального округа</t>
  </si>
  <si>
    <t>S8220</t>
  </si>
  <si>
    <t>Резервный фонд администрации Мезенского муниципального округа</t>
  </si>
  <si>
    <t>20800</t>
  </si>
  <si>
    <t>Создание резерва материальных ресурсов, приобретение имущества для предупреждения и ликвидации чрезвычайных ситуации и их последствий</t>
  </si>
  <si>
    <t>20820</t>
  </si>
  <si>
    <t>Осуществление мероприятий по обеспечению пожарной безопасности</t>
  </si>
  <si>
    <t>Обеспечение жизнедеятельности населения, предупреждение и ликвидация чрезвычайных ситуаций и стихийных бедствий</t>
  </si>
  <si>
    <t>20840</t>
  </si>
  <si>
    <t>Обеспечение безопасности людей на водных объектах</t>
  </si>
  <si>
    <t>Мероприятия в сфере профилактики правонарушений</t>
  </si>
  <si>
    <t>21700</t>
  </si>
  <si>
    <t>Муниципальная программа «Противодействие экстремизму и профилактика терроризма на территории Мезенского муниципального округа Архангельской области на 2023-2025 годы»</t>
  </si>
  <si>
    <t>Информирование жителей муниципального округа по вопросам противодействия терроризму и экстремизму</t>
  </si>
  <si>
    <t>Организация и проведение сельскохозяйственной ярмарки</t>
  </si>
  <si>
    <t>20260</t>
  </si>
  <si>
    <t xml:space="preserve">Обеспечение деятельности МАУ </t>
  </si>
  <si>
    <t>23080</t>
  </si>
  <si>
    <t>23040</t>
  </si>
  <si>
    <t xml:space="preserve">Организация мероприятий по содержанию и текущему ремонту автомобильных дорог местного значения для обеспечения качественного проезда и безопасности движения транспортных средств   </t>
  </si>
  <si>
    <t>Строительство, реконструкция, капитальный ремонт, ремонт и содержание автомобильных дорог находящихся в собственности муниципального округа за счет муниципального дорожного фонда</t>
  </si>
  <si>
    <t>Создание условий для обеспечения товарами первой необходимости жителей труднодоступных и малонаселенных пунктов</t>
  </si>
  <si>
    <t>20340</t>
  </si>
  <si>
    <t>Выполнение работ по производству инженерно-геодезических и инженерго-геологических изысканий</t>
  </si>
  <si>
    <t>21590</t>
  </si>
  <si>
    <t>Улучшение жилищных условий для привлечения молодых специалистов</t>
  </si>
  <si>
    <t>Развитие системы обращения ЖБО</t>
  </si>
  <si>
    <t>21</t>
  </si>
  <si>
    <t>20270</t>
  </si>
  <si>
    <t>Мероприятия в области коммунального хозяйства</t>
  </si>
  <si>
    <t>20330</t>
  </si>
  <si>
    <t>20310</t>
  </si>
  <si>
    <t>Организация ритуальных услуг и содержание мест захоронения</t>
  </si>
  <si>
    <t>22</t>
  </si>
  <si>
    <t>L5550</t>
  </si>
  <si>
    <t>Муниципальная программа «Формирование современной городской среды в Мезенском муниципальном округе Архангельской области на 2023 – 2025 годы»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</si>
  <si>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</si>
  <si>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Мероприятия по благоустройству на территории муниципального округа </t>
  </si>
  <si>
    <t>Мероприятия по поддержке социально ориентированных некоммерческих организаций</t>
  </si>
  <si>
    <t>Содержание муниципального имущества</t>
  </si>
  <si>
    <t>20420</t>
  </si>
  <si>
    <t>Мероприятия по ликвидации мест несанкционированного размещения отходов</t>
  </si>
  <si>
    <t>20410</t>
  </si>
  <si>
    <t>Мероприятия по рекультивациии земельных участков на территории муниципального округа</t>
  </si>
  <si>
    <t xml:space="preserve">Создание условий для предоставления транспортных услуг и организация транспортного обслуживания населения водным транспортом в границах  муниципального округа </t>
  </si>
  <si>
    <t>Создание условий для предоставления транспортных услуг и организация транспортного обслуживания населения автомобильным транспортом в границах  муниципального округа</t>
  </si>
  <si>
    <t xml:space="preserve">Обеспечение населения качественной питьевой водой </t>
  </si>
  <si>
    <t xml:space="preserve">Капитальный и текущий ремонты в муниципальных учреждениях, модернизация и приобретение основных средств </t>
  </si>
  <si>
    <t>Мероприятия в области культуры</t>
  </si>
  <si>
    <t>Обеспечение деятельности Домов культуры</t>
  </si>
  <si>
    <t>Создание и приобретение справочных и иных материалов</t>
  </si>
  <si>
    <t>Возмещение расходов по предоставлению мер социальной поддержки отдельных категорий квалифицированных специалистов, работающих и проживающих в сельской местности</t>
  </si>
  <si>
    <t>Проведение спортивных мероприятий</t>
  </si>
  <si>
    <t>20440</t>
  </si>
  <si>
    <t>Содержание мест (площадок) для ТКО</t>
  </si>
  <si>
    <t>Обеспечение комплексного развития сельских территорий</t>
  </si>
  <si>
    <t>L5760</t>
  </si>
  <si>
    <t>22240</t>
  </si>
  <si>
    <t>Организация и проведение соревнований конников на лошадях мезенской породы</t>
  </si>
  <si>
    <t>Условно утверждаемые расходы</t>
  </si>
  <si>
    <t>УСЛОВНО УТВЕРЖДАЕМЫЕ РАСХОДЫ</t>
  </si>
  <si>
    <t>Приложение № 3</t>
  </si>
  <si>
    <t>Ведомственная структура расходов бюджета муниципального округа на 2023 год и на плановый период 2024 и 2025 годов</t>
  </si>
  <si>
    <t>Муниципальная программа «Развитие здравоохранения Мезенского муниципального округа Архангельской области на 2023 – 2025 годы»</t>
  </si>
  <si>
    <t>Реализация образовательных программ (кроме персонифицированного финансирования)</t>
  </si>
  <si>
    <t>Реализация образовательных программ (в рамках персонифицированного финансирования)</t>
  </si>
  <si>
    <t>Муниципальная программа «Развитие транспортной системы и дорожного хозяйства в Мезенском муниципальном округе Архангельской области на 2023-2025 годы»</t>
  </si>
  <si>
    <t>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</t>
  </si>
  <si>
    <t>Сумма, рублей</t>
  </si>
  <si>
    <t>Расходы связанные с реализацией Положения о звании "Почетный гражданин Мезенского района"</t>
  </si>
  <si>
    <t>Расходы связанные с реализацией Положения о нагрудном знаке "За заслуги перед Мезенским районом"</t>
  </si>
  <si>
    <t>Мезенского муниципального округа</t>
  </si>
  <si>
    <t>029</t>
  </si>
  <si>
    <t>031</t>
  </si>
  <si>
    <t>030</t>
  </si>
  <si>
    <t>УПРАВЛЕНИЕ КУЛЬТУРЫ, СПОРТА, ТУРИЗМА И МОЛОДЕЖНОЙ ПОЛИТИКИ АДМИНИСТРАЦИИ МЕЗЕНСКОГО МУНИЦИПАЛЬНОГО ОКРУГА АРХАНГЕЛЬСКОЙ ОБЛАСТИ</t>
  </si>
  <si>
    <t>УПРАВЛЕНИЕ ОБРАЗОВАНИЯ АДМИНИСТРАЦИИ МЕЗЕНСКОГО МУНИЦИПАЛЬНОГО ОКРУГА АРХАНГЕЛЬСКОЙ ОБЛАСТИ</t>
  </si>
  <si>
    <t>КОМИТЕТ ПО УПРАВЛЕНИЮ МУНИЦИПАЛЬНЫМ ИМУЩЕСТВОМ АДМИНИСТРАЦИИ МЕЗЕНСКОГО МУНИЦИПАЛЬНОГО ОКРУГА АРХАНГНЛЬСКОЙ ОБЛАСТИ</t>
  </si>
  <si>
    <t>ФИНАНСОВОЕ УПРАВЛЕНИЕ АДМИНИСТРАЦИИ МЕЗЕНСКОГО МУНИЦИПАЛЬНОГО ОКРУГА АРХАНГЕЛЬСКОЙ ОБЛАСТИ</t>
  </si>
  <si>
    <t xml:space="preserve"> АДМИНИСТРАЦИЯ МЕЗЕНСКОГО МУНИЦИПАЛЬНОГО ОКРУГА АРХАНГЕЛЬСКОЙ ОБЛАСТИ</t>
  </si>
  <si>
    <t>СОБРАНИЕ ДЕПУТАТОВ МЕЗЕНСКОГО МУНИЦИПАЛЬНОГО ОКРУГА АРХАНГЕЛЬСКОЙ ОБЛАСТИ</t>
  </si>
  <si>
    <t>КОНТРОЛЬНО - СЧЕТНАЯ КОМИССИЯ МЕЗЕНСКОГО МУНИЦИПАЛЬНОГО ОКРУГА АРХАНГЕЛЬСКОЙ ОБЛАСТИ</t>
  </si>
  <si>
    <t>от 15  декабря 2022 года № 42</t>
  </si>
  <si>
    <t>от 15   декабря 2022 года № 42</t>
  </si>
  <si>
    <t>Предлагаемы поправки (+ увеличение, - уменьшение)</t>
  </si>
  <si>
    <t>"Приложение № 4</t>
  </si>
  <si>
    <t>"</t>
  </si>
  <si>
    <t>"Приложение № 3</t>
  </si>
  <si>
    <t>Распределение бюджетных ассигнований по разделам и подразделам классификации расходов бюджетов на 2023 год и на плановый период 2024 и 2025 годов</t>
  </si>
  <si>
    <t>76800</t>
  </si>
  <si>
    <t>Организация транспортного обслуживания населения на пассажирских муниципальных маршрутах водного транспорта</t>
  </si>
  <si>
    <t>A2</t>
  </si>
  <si>
    <t>55196</t>
  </si>
  <si>
    <t>Государственная поддержка лучших сельских учреждений культуры</t>
  </si>
  <si>
    <t>74900</t>
  </si>
  <si>
    <t>Подпрограмма «Социальное строительство»</t>
  </si>
  <si>
    <t>Оснащение объектов строительства сферы образования муниципальных образований Архангельской области</t>
  </si>
  <si>
    <t>74660</t>
  </si>
  <si>
    <t>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</si>
  <si>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F2</t>
  </si>
  <si>
    <t>55550</t>
  </si>
  <si>
    <t>Реализация программ формирование современной городской среды</t>
  </si>
  <si>
    <t>20230</t>
  </si>
  <si>
    <t>20250</t>
  </si>
  <si>
    <t xml:space="preserve">Резервные средства на оплату коммунальных услуг </t>
  </si>
  <si>
    <t xml:space="preserve">Резервные средства на повышение оплаты труда не ниже МРОТ работникам органов местного самоуправления и муниципальных учреждений </t>
  </si>
  <si>
    <t>74690</t>
  </si>
  <si>
    <t>Реализация мероприятий по модернизации системы дошкольного образования</t>
  </si>
  <si>
    <t>L4670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</si>
  <si>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</si>
  <si>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74630</t>
  </si>
  <si>
    <t>Реализация мероприятий по модернизации учреждений отрасли культуры</t>
  </si>
  <si>
    <t>S6640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</si>
  <si>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</si>
  <si>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S0310</t>
  </si>
  <si>
    <t>Софинансирование капитальных вложений в объеты муниципальной собственности муниципальных образований Архангельской области</t>
  </si>
  <si>
    <t>S6410</t>
  </si>
  <si>
    <t>Разработка проектно-сметной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</t>
  </si>
  <si>
    <t>76500</t>
  </si>
  <si>
    <t>Обеспечение учреждений культуры автотранспортом для обслуживания населения</t>
  </si>
  <si>
    <t>Развитие системы инициативного бюджетирования в муниципальных округах Архангельской области</t>
  </si>
  <si>
    <t>74760</t>
  </si>
  <si>
    <t>74910</t>
  </si>
  <si>
    <t>Мероприятия с сфере общественного пассажирского транспорта и транспортной инфраструктуры (в части предоставления иных межбюджетных трансфертов местным бюджетам)</t>
  </si>
  <si>
    <t>Приведение в нормативное состояние сети автомобильных дорог общего пользования местного значения</t>
  </si>
  <si>
    <t>71400</t>
  </si>
  <si>
    <t>Резервный фонд Правительства Архангельской области</t>
  </si>
  <si>
    <t>20530</t>
  </si>
  <si>
    <t>Развитие системы теплоснабжения</t>
  </si>
  <si>
    <t>АМО</t>
  </si>
  <si>
    <t>КАМЕНСКИЙ ТЕР.ОТДЕЛ</t>
  </si>
  <si>
    <t>ДОРОГОРСКИЙ ТЕР.ОТДЕЛ</t>
  </si>
  <si>
    <t>ЗАРЕЧЕНСКИЙ ТЕР.ОТДЕЛ</t>
  </si>
  <si>
    <t>БЫЧЕНСКИЙ ТЕР.ОТДЕЛ</t>
  </si>
  <si>
    <t>СОВПОЛЬСКИЙ ТЕР.ОТДЕЛ</t>
  </si>
  <si>
    <t>СОЯНСКИЙ ТЕР.ОТДЕЛ</t>
  </si>
  <si>
    <t>ДОЛГОЩЕЛЬСКИЙ ТЕР.ОТДЕЛ</t>
  </si>
  <si>
    <t>КОЙДЕНСКИЙ ТЕР.ОТДЕЛ</t>
  </si>
  <si>
    <t>РУЧЬЕКСКОЙ ТЕР.ОТДЕЛ</t>
  </si>
  <si>
    <t>ХОЗ.СЛУЖБА</t>
  </si>
  <si>
    <t>S6360</t>
  </si>
  <si>
    <t>Организация транспортного обслуживания населения на пассажирских маршрутах автомобильного транспорта</t>
  </si>
  <si>
    <t>20040</t>
  </si>
  <si>
    <t>Выполнение обязательств органами местного самоуправления</t>
  </si>
  <si>
    <t>S4830</t>
  </si>
  <si>
    <t>от  06 апреля 2023 года №  129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</si>
</sst>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0_ ;[Red]\-#,##0.00\ "/>
  </numFmts>
  <fonts count="36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2"/>
      <name val="Arial Сur"/>
      <charset val="204"/>
    </font>
    <font>
      <sz val="12"/>
      <name val="Arial Сur"/>
      <charset val="204"/>
    </font>
    <font>
      <b/>
      <sz val="10"/>
      <name val="Arial Сur"/>
      <charset val="204"/>
    </font>
    <font>
      <sz val="10"/>
      <name val="Arial Сur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Arial Cyr"/>
      <charset val="204"/>
    </font>
    <font>
      <b/>
      <sz val="12"/>
      <color indexed="8"/>
      <name val="Arial Cyr"/>
      <charset val="204"/>
    </font>
    <font>
      <b/>
      <sz val="10"/>
      <color indexed="8"/>
      <name val="Arial Cyr"/>
      <charset val="204"/>
    </font>
    <font>
      <sz val="10"/>
      <color theme="1"/>
      <name val="Arial Cyr"/>
      <charset val="204"/>
    </font>
    <font>
      <b/>
      <sz val="13"/>
      <name val="Arial Cyr"/>
      <charset val="204"/>
    </font>
    <font>
      <b/>
      <sz val="13"/>
      <color theme="1"/>
      <name val="Calibri"/>
      <family val="2"/>
      <charset val="204"/>
      <scheme val="minor"/>
    </font>
    <font>
      <sz val="11"/>
      <color theme="1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1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0" fillId="0" borderId="7" xfId="0" applyBorder="1"/>
    <xf numFmtId="0" fontId="0" fillId="0" borderId="8" xfId="0" applyBorder="1"/>
    <xf numFmtId="164" fontId="0" fillId="0" borderId="0" xfId="0" applyNumberForma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/>
    <xf numFmtId="0" fontId="2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0" fillId="2" borderId="16" xfId="0" applyFont="1" applyFill="1" applyBorder="1" applyAlignment="1">
      <alignment wrapText="1"/>
    </xf>
    <xf numFmtId="0" fontId="0" fillId="2" borderId="17" xfId="0" applyFill="1" applyBorder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7" xfId="0" applyFont="1" applyBorder="1"/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" xfId="0" applyFont="1" applyBorder="1"/>
    <xf numFmtId="49" fontId="8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11" xfId="0" applyFont="1" applyBorder="1" applyAlignment="1">
      <alignment horizontal="left" vertical="center" wrapText="1"/>
    </xf>
    <xf numFmtId="0" fontId="10" fillId="0" borderId="2" xfId="0" applyFont="1" applyBorder="1"/>
    <xf numFmtId="0" fontId="0" fillId="0" borderId="0" xfId="0" applyAlignment="1">
      <alignment horizontal="right" vertical="center"/>
    </xf>
    <xf numFmtId="2" fontId="0" fillId="0" borderId="0" xfId="0" applyNumberFormat="1"/>
    <xf numFmtId="49" fontId="15" fillId="0" borderId="1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0" xfId="0" applyFont="1" applyBorder="1"/>
    <xf numFmtId="0" fontId="17" fillId="0" borderId="23" xfId="0" applyFont="1" applyBorder="1"/>
    <xf numFmtId="0" fontId="18" fillId="0" borderId="23" xfId="0" applyFont="1" applyBorder="1"/>
    <xf numFmtId="0" fontId="3" fillId="0" borderId="16" xfId="0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7" xfId="0" applyFont="1" applyBorder="1" applyAlignment="1">
      <alignment wrapText="1"/>
    </xf>
    <xf numFmtId="49" fontId="7" fillId="0" borderId="5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vertical="center" wrapText="1"/>
    </xf>
    <xf numFmtId="4" fontId="0" fillId="0" borderId="28" xfId="0" applyNumberFormat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165" fontId="0" fillId="0" borderId="28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center" vertical="center"/>
    </xf>
    <xf numFmtId="0" fontId="15" fillId="0" borderId="0" xfId="0" applyFont="1"/>
    <xf numFmtId="165" fontId="17" fillId="0" borderId="10" xfId="0" applyNumberFormat="1" applyFont="1" applyBorder="1" applyAlignment="1">
      <alignment horizontal="right" vertical="center"/>
    </xf>
    <xf numFmtId="165" fontId="10" fillId="0" borderId="28" xfId="0" applyNumberFormat="1" applyFont="1" applyBorder="1" applyAlignment="1">
      <alignment horizontal="right" vertical="center"/>
    </xf>
    <xf numFmtId="165" fontId="0" fillId="0" borderId="29" xfId="0" applyNumberFormat="1" applyBorder="1" applyAlignment="1">
      <alignment horizontal="right" vertical="center"/>
    </xf>
    <xf numFmtId="0" fontId="6" fillId="0" borderId="27" xfId="0" applyFont="1" applyBorder="1" applyAlignment="1">
      <alignment horizontal="left" vertical="center" wrapText="1"/>
    </xf>
    <xf numFmtId="0" fontId="0" fillId="2" borderId="1" xfId="0" applyFill="1" applyBorder="1"/>
    <xf numFmtId="165" fontId="1" fillId="0" borderId="28" xfId="0" applyNumberFormat="1" applyFont="1" applyBorder="1" applyAlignment="1">
      <alignment horizontal="right" vertical="center"/>
    </xf>
    <xf numFmtId="49" fontId="15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8" xfId="0" applyFont="1" applyBorder="1"/>
    <xf numFmtId="0" fontId="15" fillId="2" borderId="1" xfId="0" applyFont="1" applyFill="1" applyBorder="1"/>
    <xf numFmtId="0" fontId="23" fillId="0" borderId="0" xfId="0" applyFont="1"/>
    <xf numFmtId="4" fontId="11" fillId="2" borderId="28" xfId="0" applyNumberFormat="1" applyFont="1" applyFill="1" applyBorder="1" applyAlignment="1">
      <alignment horizontal="right" vertical="center"/>
    </xf>
    <xf numFmtId="4" fontId="11" fillId="0" borderId="28" xfId="0" applyNumberFormat="1" applyFont="1" applyBorder="1" applyAlignment="1">
      <alignment horizontal="right" vertical="center"/>
    </xf>
    <xf numFmtId="4" fontId="10" fillId="0" borderId="28" xfId="0" applyNumberFormat="1" applyFont="1" applyBorder="1" applyAlignment="1">
      <alignment horizontal="right" vertical="center"/>
    </xf>
    <xf numFmtId="4" fontId="1" fillId="0" borderId="28" xfId="0" applyNumberFormat="1" applyFont="1" applyBorder="1" applyAlignment="1">
      <alignment horizontal="right" vertical="center"/>
    </xf>
    <xf numFmtId="4" fontId="0" fillId="0" borderId="31" xfId="0" applyNumberFormat="1" applyBorder="1" applyAlignment="1">
      <alignment horizontal="right" vertical="center"/>
    </xf>
    <xf numFmtId="4" fontId="15" fillId="0" borderId="28" xfId="0" applyNumberFormat="1" applyFont="1" applyBorder="1" applyAlignment="1">
      <alignment horizontal="right" vertical="center"/>
    </xf>
    <xf numFmtId="4" fontId="1" fillId="0" borderId="31" xfId="0" applyNumberFormat="1" applyFont="1" applyBorder="1" applyAlignment="1">
      <alignment horizontal="right" vertical="center"/>
    </xf>
    <xf numFmtId="4" fontId="11" fillId="2" borderId="31" xfId="0" applyNumberFormat="1" applyFont="1" applyFill="1" applyBorder="1" applyAlignment="1">
      <alignment horizontal="right" vertical="center"/>
    </xf>
    <xf numFmtId="4" fontId="17" fillId="0" borderId="10" xfId="0" applyNumberFormat="1" applyFon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0" fillId="0" borderId="32" xfId="0" applyNumberFormat="1" applyBorder="1" applyAlignment="1">
      <alignment horizontal="right" vertical="center"/>
    </xf>
    <xf numFmtId="0" fontId="6" fillId="0" borderId="16" xfId="0" applyFont="1" applyBorder="1" applyAlignment="1">
      <alignment vertical="center" wrapText="1"/>
    </xf>
    <xf numFmtId="0" fontId="0" fillId="0" borderId="2" xfId="0" applyBorder="1" applyAlignment="1">
      <alignment horizontal="left" vertical="justify" wrapText="1"/>
    </xf>
    <xf numFmtId="4" fontId="6" fillId="0" borderId="0" xfId="0" applyNumberFormat="1" applyFont="1" applyAlignment="1">
      <alignment horizontal="right"/>
    </xf>
    <xf numFmtId="0" fontId="0" fillId="0" borderId="2" xfId="0" applyBorder="1"/>
    <xf numFmtId="0" fontId="6" fillId="0" borderId="2" xfId="0" applyFont="1" applyBorder="1" applyAlignment="1">
      <alignment wrapText="1"/>
    </xf>
    <xf numFmtId="49" fontId="5" fillId="0" borderId="15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0" fillId="2" borderId="30" xfId="0" applyFill="1" applyBorder="1"/>
    <xf numFmtId="49" fontId="0" fillId="0" borderId="17" xfId="0" applyNumberFormat="1" applyBorder="1" applyAlignment="1">
      <alignment horizontal="center" vertical="center"/>
    </xf>
    <xf numFmtId="0" fontId="6" fillId="0" borderId="27" xfId="0" applyFont="1" applyBorder="1" applyAlignment="1">
      <alignment vertical="center" wrapText="1"/>
    </xf>
    <xf numFmtId="0" fontId="10" fillId="0" borderId="0" xfId="0" applyFont="1"/>
    <xf numFmtId="4" fontId="15" fillId="0" borderId="31" xfId="0" applyNumberFormat="1" applyFont="1" applyBorder="1" applyAlignment="1">
      <alignment horizontal="right" vertical="center"/>
    </xf>
    <xf numFmtId="0" fontId="0" fillId="0" borderId="2" xfId="0" applyBorder="1" applyAlignment="1">
      <alignment wrapText="1"/>
    </xf>
    <xf numFmtId="0" fontId="3" fillId="0" borderId="27" xfId="0" applyFont="1" applyBorder="1" applyAlignment="1">
      <alignment horizontal="left" vertical="center" wrapText="1"/>
    </xf>
    <xf numFmtId="49" fontId="12" fillId="0" borderId="24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4" fontId="12" fillId="0" borderId="31" xfId="0" applyNumberFormat="1" applyFont="1" applyBorder="1" applyAlignment="1">
      <alignment horizontal="right" vertical="center"/>
    </xf>
    <xf numFmtId="0" fontId="9" fillId="3" borderId="16" xfId="0" applyFont="1" applyFill="1" applyBorder="1" applyAlignment="1">
      <alignment horizontal="left" vertical="center" wrapText="1"/>
    </xf>
    <xf numFmtId="49" fontId="12" fillId="3" borderId="24" xfId="0" applyNumberFormat="1" applyFont="1" applyFill="1" applyBorder="1" applyAlignment="1">
      <alignment horizontal="center" vertical="center"/>
    </xf>
    <xf numFmtId="49" fontId="12" fillId="3" borderId="17" xfId="0" applyNumberFormat="1" applyFont="1" applyFill="1" applyBorder="1" applyAlignment="1">
      <alignment horizontal="center" vertical="center"/>
    </xf>
    <xf numFmtId="4" fontId="12" fillId="3" borderId="31" xfId="0" applyNumberFormat="1" applyFont="1" applyFill="1" applyBorder="1" applyAlignment="1">
      <alignment horizontal="right" vertical="center"/>
    </xf>
    <xf numFmtId="0" fontId="24" fillId="0" borderId="0" xfId="0" applyFont="1"/>
    <xf numFmtId="4" fontId="7" fillId="0" borderId="33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1" fontId="7" fillId="0" borderId="33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0" fillId="0" borderId="16" xfId="0" applyBorder="1" applyAlignment="1">
      <alignment horizontal="left" vertical="justify" wrapText="1"/>
    </xf>
    <xf numFmtId="49" fontId="0" fillId="0" borderId="24" xfId="0" applyNumberFormat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12" fillId="3" borderId="30" xfId="0" applyNumberFormat="1" applyFont="1" applyFill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" fontId="13" fillId="0" borderId="28" xfId="0" applyNumberFormat="1" applyFont="1" applyBorder="1" applyAlignment="1">
      <alignment horizontal="right" vertical="center"/>
    </xf>
    <xf numFmtId="0" fontId="13" fillId="0" borderId="0" xfId="0" applyFont="1"/>
    <xf numFmtId="49" fontId="6" fillId="0" borderId="15" xfId="0" applyNumberFormat="1" applyFont="1" applyBorder="1" applyAlignment="1">
      <alignment horizontal="center" vertical="center"/>
    </xf>
    <xf numFmtId="4" fontId="6" fillId="0" borderId="28" xfId="0" applyNumberFormat="1" applyFont="1" applyBorder="1" applyAlignment="1">
      <alignment horizontal="right" vertical="center"/>
    </xf>
    <xf numFmtId="0" fontId="6" fillId="0" borderId="0" xfId="0" applyFont="1"/>
    <xf numFmtId="49" fontId="8" fillId="0" borderId="1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right" vertical="center"/>
    </xf>
    <xf numFmtId="0" fontId="8" fillId="0" borderId="0" xfId="0" applyFont="1"/>
    <xf numFmtId="0" fontId="9" fillId="3" borderId="27" xfId="0" applyFont="1" applyFill="1" applyBorder="1" applyAlignment="1">
      <alignment horizontal="left" vertical="center" wrapText="1"/>
    </xf>
    <xf numFmtId="49" fontId="5" fillId="3" borderId="12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" fontId="10" fillId="3" borderId="28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/>
    <xf numFmtId="0" fontId="18" fillId="0" borderId="0" xfId="0" applyFont="1"/>
    <xf numFmtId="4" fontId="17" fillId="0" borderId="0" xfId="0" applyNumberFormat="1" applyFont="1" applyAlignment="1">
      <alignment horizontal="right" vertical="center"/>
    </xf>
    <xf numFmtId="0" fontId="9" fillId="0" borderId="45" xfId="0" applyFont="1" applyBorder="1" applyAlignment="1">
      <alignment horizontal="left" vertical="center" wrapText="1"/>
    </xf>
    <xf numFmtId="49" fontId="10" fillId="0" borderId="4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5" fontId="10" fillId="0" borderId="32" xfId="0" applyNumberFormat="1" applyFont="1" applyBorder="1" applyAlignment="1">
      <alignment horizontal="right" vertical="center"/>
    </xf>
    <xf numFmtId="49" fontId="1" fillId="0" borderId="12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wrapText="1"/>
    </xf>
    <xf numFmtId="49" fontId="3" fillId="0" borderId="30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0" fillId="0" borderId="9" xfId="0" applyBorder="1"/>
    <xf numFmtId="3" fontId="7" fillId="0" borderId="33" xfId="0" applyNumberFormat="1" applyFont="1" applyBorder="1" applyAlignment="1">
      <alignment horizontal="center" vertical="center"/>
    </xf>
    <xf numFmtId="4" fontId="0" fillId="3" borderId="28" xfId="0" applyNumberFormat="1" applyFill="1" applyBorder="1" applyAlignment="1">
      <alignment horizontal="right" vertical="center"/>
    </xf>
    <xf numFmtId="0" fontId="0" fillId="0" borderId="10" xfId="0" applyBorder="1"/>
    <xf numFmtId="0" fontId="8" fillId="0" borderId="16" xfId="0" applyFont="1" applyBorder="1" applyAlignment="1">
      <alignment vertical="center" wrapText="1"/>
    </xf>
    <xf numFmtId="49" fontId="10" fillId="0" borderId="24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" fontId="10" fillId="0" borderId="31" xfId="0" applyNumberFormat="1" applyFont="1" applyBorder="1" applyAlignment="1">
      <alignment horizontal="right" vertical="center"/>
    </xf>
    <xf numFmtId="0" fontId="1" fillId="2" borderId="1" xfId="0" applyFont="1" applyFill="1" applyBorder="1"/>
    <xf numFmtId="0" fontId="32" fillId="4" borderId="0" xfId="0" applyFont="1" applyFill="1" applyAlignment="1">
      <alignment horizontal="left" vertical="center" wrapText="1"/>
    </xf>
    <xf numFmtId="0" fontId="33" fillId="4" borderId="0" xfId="0" applyFont="1" applyFill="1"/>
    <xf numFmtId="4" fontId="33" fillId="4" borderId="0" xfId="0" applyNumberFormat="1" applyFont="1" applyFill="1"/>
    <xf numFmtId="0" fontId="1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7" xfId="0" applyFont="1" applyBorder="1" applyAlignment="1">
      <alignment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/>
    <xf numFmtId="0" fontId="1" fillId="0" borderId="2" xfId="0" applyFont="1" applyBorder="1" applyAlignment="1">
      <alignment wrapText="1"/>
    </xf>
    <xf numFmtId="49" fontId="11" fillId="0" borderId="2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" fontId="19" fillId="0" borderId="28" xfId="0" applyNumberFormat="1" applyFont="1" applyBorder="1" applyAlignment="1">
      <alignment horizontal="right" vertical="center"/>
    </xf>
    <xf numFmtId="49" fontId="10" fillId="0" borderId="26" xfId="0" applyNumberFormat="1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4" fontId="21" fillId="0" borderId="28" xfId="0" applyNumberFormat="1" applyFont="1" applyBorder="1" applyAlignment="1">
      <alignment horizontal="right" vertical="center"/>
    </xf>
    <xf numFmtId="49" fontId="1" fillId="0" borderId="26" xfId="0" applyNumberFormat="1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4" fontId="22" fillId="0" borderId="28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/>
    <xf numFmtId="0" fontId="1" fillId="0" borderId="2" xfId="0" applyFont="1" applyBorder="1" applyAlignment="1">
      <alignment horizontal="left" vertical="justify" wrapText="1"/>
    </xf>
    <xf numFmtId="0" fontId="1" fillId="0" borderId="11" xfId="0" applyFont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35" fillId="4" borderId="0" xfId="0" applyFont="1" applyFill="1"/>
    <xf numFmtId="4" fontId="35" fillId="4" borderId="0" xfId="0" applyNumberFormat="1" applyFont="1" applyFill="1"/>
    <xf numFmtId="0" fontId="11" fillId="4" borderId="45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left" vertical="center" wrapText="1"/>
    </xf>
    <xf numFmtId="49" fontId="11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" fontId="11" fillId="5" borderId="28" xfId="0" applyNumberFormat="1" applyFont="1" applyFill="1" applyBorder="1" applyAlignment="1">
      <alignment horizontal="right" vertical="center"/>
    </xf>
    <xf numFmtId="0" fontId="0" fillId="5" borderId="0" xfId="0" applyFill="1"/>
    <xf numFmtId="0" fontId="10" fillId="5" borderId="2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4" fontId="10" fillId="5" borderId="28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left" vertical="center" wrapText="1"/>
    </xf>
    <xf numFmtId="49" fontId="0" fillId="5" borderId="1" xfId="0" applyNumberForma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4" fontId="0" fillId="5" borderId="28" xfId="0" applyNumberFormat="1" applyFill="1" applyBorder="1" applyAlignment="1">
      <alignment horizontal="right" vertical="center"/>
    </xf>
    <xf numFmtId="0" fontId="1" fillId="5" borderId="2" xfId="0" applyFont="1" applyFill="1" applyBorder="1" applyAlignment="1">
      <alignment vertical="center" wrapText="1"/>
    </xf>
    <xf numFmtId="0" fontId="1" fillId="5" borderId="27" xfId="0" applyFont="1" applyFill="1" applyBorder="1" applyAlignment="1">
      <alignment wrapText="1"/>
    </xf>
    <xf numFmtId="0" fontId="1" fillId="5" borderId="26" xfId="0" applyFont="1" applyFill="1" applyBorder="1" applyAlignment="1">
      <alignment vertical="center" wrapText="1"/>
    </xf>
    <xf numFmtId="49" fontId="10" fillId="5" borderId="6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" fontId="1" fillId="5" borderId="28" xfId="0" applyNumberFormat="1" applyFont="1" applyFill="1" applyBorder="1" applyAlignment="1">
      <alignment horizontal="right" vertical="center"/>
    </xf>
    <xf numFmtId="0" fontId="1" fillId="5" borderId="27" xfId="0" applyFont="1" applyFill="1" applyBorder="1"/>
    <xf numFmtId="0" fontId="1" fillId="5" borderId="2" xfId="0" applyFont="1" applyFill="1" applyBorder="1" applyAlignment="1">
      <alignment wrapText="1"/>
    </xf>
    <xf numFmtId="49" fontId="6" fillId="5" borderId="1" xfId="0" applyNumberFormat="1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/>
    </xf>
    <xf numFmtId="49" fontId="11" fillId="5" borderId="2" xfId="0" applyNumberFormat="1" applyFont="1" applyFill="1" applyBorder="1" applyAlignment="1">
      <alignment horizontal="left" vertical="center" wrapText="1"/>
    </xf>
    <xf numFmtId="49" fontId="10" fillId="5" borderId="2" xfId="0" applyNumberFormat="1" applyFont="1" applyFill="1" applyBorder="1" applyAlignment="1">
      <alignment horizontal="left" vertical="center" wrapText="1"/>
    </xf>
    <xf numFmtId="49" fontId="19" fillId="5" borderId="1" xfId="0" applyNumberFormat="1" applyFont="1" applyFill="1" applyBorder="1" applyAlignment="1">
      <alignment horizontal="center" vertical="center"/>
    </xf>
    <xf numFmtId="49" fontId="20" fillId="5" borderId="1" xfId="0" applyNumberFormat="1" applyFont="1" applyFill="1" applyBorder="1" applyAlignment="1">
      <alignment horizontal="center" vertical="center"/>
    </xf>
    <xf numFmtId="49" fontId="20" fillId="5" borderId="6" xfId="0" applyNumberFormat="1" applyFont="1" applyFill="1" applyBorder="1" applyAlignment="1">
      <alignment horizontal="center" vertical="center"/>
    </xf>
    <xf numFmtId="4" fontId="19" fillId="5" borderId="28" xfId="0" applyNumberFormat="1" applyFont="1" applyFill="1" applyBorder="1" applyAlignment="1">
      <alignment horizontal="right" vertical="center"/>
    </xf>
    <xf numFmtId="0" fontId="10" fillId="5" borderId="0" xfId="0" applyFont="1" applyFill="1"/>
    <xf numFmtId="49" fontId="10" fillId="5" borderId="26" xfId="0" applyNumberFormat="1" applyFont="1" applyFill="1" applyBorder="1" applyAlignment="1">
      <alignment horizontal="left" vertical="center" wrapText="1"/>
    </xf>
    <xf numFmtId="49" fontId="21" fillId="5" borderId="1" xfId="0" applyNumberFormat="1" applyFont="1" applyFill="1" applyBorder="1" applyAlignment="1">
      <alignment horizontal="center" vertical="center"/>
    </xf>
    <xf numFmtId="49" fontId="21" fillId="5" borderId="6" xfId="0" applyNumberFormat="1" applyFont="1" applyFill="1" applyBorder="1" applyAlignment="1">
      <alignment horizontal="center" vertical="center"/>
    </xf>
    <xf numFmtId="4" fontId="21" fillId="5" borderId="28" xfId="0" applyNumberFormat="1" applyFont="1" applyFill="1" applyBorder="1" applyAlignment="1">
      <alignment horizontal="right" vertical="center"/>
    </xf>
    <xf numFmtId="49" fontId="1" fillId="5" borderId="26" xfId="0" applyNumberFormat="1" applyFont="1" applyFill="1" applyBorder="1" applyAlignment="1">
      <alignment horizontal="left" vertical="center" wrapText="1"/>
    </xf>
    <xf numFmtId="49" fontId="22" fillId="5" borderId="1" xfId="0" applyNumberFormat="1" applyFont="1" applyFill="1" applyBorder="1" applyAlignment="1">
      <alignment horizontal="center" vertical="center"/>
    </xf>
    <xf numFmtId="49" fontId="22" fillId="5" borderId="6" xfId="0" applyNumberFormat="1" applyFont="1" applyFill="1" applyBorder="1" applyAlignment="1">
      <alignment horizontal="center" vertical="center"/>
    </xf>
    <xf numFmtId="4" fontId="22" fillId="5" borderId="28" xfId="0" applyNumberFormat="1" applyFont="1" applyFill="1" applyBorder="1" applyAlignment="1">
      <alignment horizontal="right" vertical="center"/>
    </xf>
    <xf numFmtId="49" fontId="1" fillId="5" borderId="2" xfId="0" applyNumberFormat="1" applyFont="1" applyFill="1" applyBorder="1" applyAlignment="1">
      <alignment horizontal="left" vertical="center" wrapText="1"/>
    </xf>
    <xf numFmtId="4" fontId="6" fillId="5" borderId="28" xfId="0" applyNumberFormat="1" applyFont="1" applyFill="1" applyBorder="1" applyAlignment="1">
      <alignment horizontal="right"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left"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left" vertical="center" wrapText="1"/>
    </xf>
    <xf numFmtId="49" fontId="0" fillId="5" borderId="6" xfId="0" applyNumberFormat="1" applyFill="1" applyBorder="1" applyAlignment="1">
      <alignment horizontal="center" vertical="center"/>
    </xf>
    <xf numFmtId="0" fontId="10" fillId="5" borderId="2" xfId="0" applyFont="1" applyFill="1" applyBorder="1"/>
    <xf numFmtId="0" fontId="34" fillId="5" borderId="2" xfId="0" applyFont="1" applyFill="1" applyBorder="1" applyAlignment="1">
      <alignment horizontal="left" vertical="justify" wrapText="1"/>
    </xf>
    <xf numFmtId="0" fontId="10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5" borderId="0" xfId="0" applyFont="1" applyFill="1"/>
    <xf numFmtId="0" fontId="34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justify" wrapText="1"/>
    </xf>
    <xf numFmtId="49" fontId="1" fillId="5" borderId="6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left" vertical="center" wrapText="1"/>
    </xf>
    <xf numFmtId="49" fontId="3" fillId="5" borderId="12" xfId="0" applyNumberFormat="1" applyFont="1" applyFill="1" applyBorder="1" applyAlignment="1">
      <alignment horizontal="center" vertical="center"/>
    </xf>
    <xf numFmtId="49" fontId="3" fillId="5" borderId="13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wrapText="1"/>
    </xf>
    <xf numFmtId="0" fontId="31" fillId="0" borderId="2" xfId="0" applyFont="1" applyBorder="1" applyAlignment="1">
      <alignment horizontal="left" vertical="justify" wrapText="1"/>
    </xf>
    <xf numFmtId="0" fontId="31" fillId="0" borderId="2" xfId="0" applyFont="1" applyBorder="1"/>
    <xf numFmtId="0" fontId="31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1" fillId="5" borderId="2" xfId="0" applyFont="1" applyFill="1" applyBorder="1" applyAlignment="1">
      <alignment wrapText="1"/>
    </xf>
    <xf numFmtId="0" fontId="31" fillId="5" borderId="2" xfId="0" applyFont="1" applyFill="1" applyBorder="1" applyAlignment="1">
      <alignment horizontal="left" vertical="justify" wrapText="1"/>
    </xf>
    <xf numFmtId="0" fontId="31" fillId="5" borderId="2" xfId="0" applyFont="1" applyFill="1" applyBorder="1"/>
    <xf numFmtId="0" fontId="31" fillId="5" borderId="2" xfId="0" applyFont="1" applyFill="1" applyBorder="1" applyAlignment="1">
      <alignment horizontal="left" vertical="center" wrapText="1"/>
    </xf>
    <xf numFmtId="0" fontId="31" fillId="5" borderId="2" xfId="0" applyFont="1" applyFill="1" applyBorder="1" applyAlignment="1">
      <alignment horizontal="left" wrapText="1"/>
    </xf>
    <xf numFmtId="0" fontId="0" fillId="5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3" xfId="0" applyBorder="1"/>
    <xf numFmtId="0" fontId="25" fillId="0" borderId="46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3"/>
  <sheetViews>
    <sheetView view="pageBreakPreview" zoomScale="80" zoomScaleNormal="100" zoomScaleSheetLayoutView="80" workbookViewId="0">
      <selection activeCell="A4" sqref="A4"/>
    </sheetView>
  </sheetViews>
  <sheetFormatPr defaultColWidth="9.140625" defaultRowHeight="12.75"/>
  <cols>
    <col min="1" max="1" width="72.140625" style="50" customWidth="1"/>
    <col min="2" max="2" width="6.42578125" style="51" customWidth="1"/>
    <col min="3" max="3" width="6" style="51" customWidth="1"/>
    <col min="4" max="4" width="18.7109375" style="21" hidden="1" customWidth="1"/>
    <col min="5" max="5" width="19.42578125" hidden="1" customWidth="1"/>
    <col min="6" max="6" width="17.42578125" hidden="1" customWidth="1"/>
    <col min="7" max="7" width="18.140625" hidden="1" customWidth="1"/>
    <col min="8" max="8" width="15.140625" hidden="1" customWidth="1"/>
    <col min="9" max="9" width="17.42578125" hidden="1" customWidth="1"/>
    <col min="10" max="10" width="18.7109375" hidden="1" customWidth="1"/>
    <col min="11" max="11" width="17.42578125" hidden="1" customWidth="1"/>
    <col min="12" max="12" width="18.42578125" hidden="1" customWidth="1"/>
    <col min="13" max="13" width="17.42578125" hidden="1" customWidth="1"/>
    <col min="14" max="14" width="13.5703125" hidden="1" customWidth="1"/>
    <col min="15" max="15" width="14.7109375" hidden="1" customWidth="1"/>
    <col min="16" max="16" width="19.5703125" customWidth="1"/>
    <col min="17" max="17" width="18.42578125" customWidth="1"/>
    <col min="18" max="18" width="17.85546875" customWidth="1"/>
    <col min="19" max="19" width="2.28515625" customWidth="1"/>
    <col min="20" max="20" width="9.140625" customWidth="1"/>
  </cols>
  <sheetData>
    <row r="1" spans="1:18">
      <c r="R1" s="172" t="s">
        <v>391</v>
      </c>
    </row>
    <row r="2" spans="1:18">
      <c r="R2" s="60" t="s">
        <v>43</v>
      </c>
    </row>
    <row r="3" spans="1:18">
      <c r="R3" s="60" t="s">
        <v>401</v>
      </c>
    </row>
    <row r="4" spans="1:18">
      <c r="R4" s="172" t="s">
        <v>475</v>
      </c>
    </row>
    <row r="6" spans="1:18">
      <c r="F6" s="63"/>
      <c r="R6" s="63" t="s">
        <v>417</v>
      </c>
    </row>
    <row r="7" spans="1:18">
      <c r="F7" s="60"/>
      <c r="R7" s="60" t="s">
        <v>43</v>
      </c>
    </row>
    <row r="8" spans="1:18">
      <c r="F8" s="60"/>
      <c r="R8" s="60" t="s">
        <v>401</v>
      </c>
    </row>
    <row r="9" spans="1:18">
      <c r="F9" s="63"/>
      <c r="R9" s="63" t="s">
        <v>412</v>
      </c>
    </row>
    <row r="10" spans="1:18">
      <c r="D10" s="63"/>
    </row>
    <row r="11" spans="1:18" ht="36.75" customHeight="1">
      <c r="A11" s="310" t="s">
        <v>418</v>
      </c>
      <c r="B11" s="310"/>
      <c r="C11" s="310"/>
      <c r="D11" s="310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</row>
    <row r="12" spans="1:18">
      <c r="F12" s="112"/>
    </row>
    <row r="13" spans="1:18" ht="43.5" customHeight="1">
      <c r="A13" s="314" t="s">
        <v>10</v>
      </c>
      <c r="B13" s="316" t="s">
        <v>11</v>
      </c>
      <c r="C13" s="318" t="s">
        <v>12</v>
      </c>
      <c r="D13" s="312" t="s">
        <v>398</v>
      </c>
      <c r="E13" s="313"/>
      <c r="F13" s="313"/>
      <c r="G13" s="305" t="s">
        <v>414</v>
      </c>
      <c r="H13" s="306"/>
      <c r="I13" s="307"/>
      <c r="J13" s="306" t="s">
        <v>398</v>
      </c>
      <c r="K13" s="308"/>
      <c r="L13" s="309"/>
      <c r="M13" s="305" t="s">
        <v>414</v>
      </c>
      <c r="N13" s="306"/>
      <c r="O13" s="307"/>
      <c r="P13" s="306" t="s">
        <v>398</v>
      </c>
      <c r="Q13" s="308"/>
      <c r="R13" s="309"/>
    </row>
    <row r="14" spans="1:18" ht="25.5" customHeight="1">
      <c r="A14" s="315"/>
      <c r="B14" s="317"/>
      <c r="C14" s="319"/>
      <c r="D14" s="135" t="s">
        <v>276</v>
      </c>
      <c r="E14" s="135" t="s">
        <v>277</v>
      </c>
      <c r="F14" s="135" t="s">
        <v>278</v>
      </c>
      <c r="G14" s="135" t="s">
        <v>276</v>
      </c>
      <c r="H14" s="135" t="s">
        <v>277</v>
      </c>
      <c r="I14" s="135" t="s">
        <v>278</v>
      </c>
      <c r="J14" s="135" t="s">
        <v>276</v>
      </c>
      <c r="K14" s="135" t="s">
        <v>277</v>
      </c>
      <c r="L14" s="135" t="s">
        <v>278</v>
      </c>
      <c r="M14" s="135" t="s">
        <v>276</v>
      </c>
      <c r="N14" s="135" t="s">
        <v>277</v>
      </c>
      <c r="O14" s="135" t="s">
        <v>278</v>
      </c>
      <c r="P14" s="135" t="s">
        <v>276</v>
      </c>
      <c r="Q14" s="135" t="s">
        <v>277</v>
      </c>
      <c r="R14" s="135" t="s">
        <v>278</v>
      </c>
    </row>
    <row r="15" spans="1:18" ht="11.25" customHeight="1">
      <c r="A15" s="8">
        <v>1</v>
      </c>
      <c r="B15" s="22">
        <v>2</v>
      </c>
      <c r="C15" s="52">
        <v>3</v>
      </c>
      <c r="D15" s="52">
        <v>4</v>
      </c>
      <c r="E15" s="52">
        <v>5</v>
      </c>
      <c r="F15" s="52">
        <v>6</v>
      </c>
      <c r="G15" s="52"/>
      <c r="H15" s="52"/>
      <c r="I15" s="52"/>
      <c r="J15" s="52">
        <v>4</v>
      </c>
      <c r="K15" s="52">
        <v>5</v>
      </c>
      <c r="L15" s="52">
        <v>6</v>
      </c>
      <c r="M15" s="52"/>
      <c r="N15" s="52"/>
      <c r="O15" s="52"/>
      <c r="P15" s="52">
        <v>4</v>
      </c>
      <c r="Q15" s="52">
        <v>5</v>
      </c>
      <c r="R15" s="52">
        <v>6</v>
      </c>
    </row>
    <row r="16" spans="1:18">
      <c r="A16" s="53"/>
      <c r="B16" s="54"/>
      <c r="C16" s="55"/>
      <c r="D16" s="137"/>
      <c r="E16" s="173"/>
      <c r="G16" s="137"/>
      <c r="H16" s="173"/>
      <c r="I16" s="173"/>
      <c r="J16" s="137"/>
      <c r="K16" s="173"/>
      <c r="M16" s="137"/>
      <c r="N16" s="173"/>
      <c r="P16" s="137"/>
      <c r="Q16" s="173"/>
      <c r="R16" s="304"/>
    </row>
    <row r="17" spans="1:18">
      <c r="A17" s="4" t="s">
        <v>32</v>
      </c>
      <c r="B17" s="14" t="s">
        <v>20</v>
      </c>
      <c r="C17" s="1"/>
      <c r="D17" s="87">
        <f>SUM(D18:D25)</f>
        <v>228897189.08999997</v>
      </c>
      <c r="E17" s="87">
        <f t="shared" ref="E17:F17" si="0">SUM(E18:E25)</f>
        <v>218025159.79000002</v>
      </c>
      <c r="F17" s="87">
        <f t="shared" si="0"/>
        <v>215835049.05999997</v>
      </c>
      <c r="G17" s="87">
        <f t="shared" ref="G17:I17" si="1">SUM(G18:G25)</f>
        <v>30070438.730000004</v>
      </c>
      <c r="H17" s="87">
        <f t="shared" si="1"/>
        <v>-125879.68999999999</v>
      </c>
      <c r="I17" s="87">
        <f t="shared" si="1"/>
        <v>-519751.03</v>
      </c>
      <c r="J17" s="87">
        <f>D17+G17</f>
        <v>258967627.81999999</v>
      </c>
      <c r="K17" s="87">
        <f>E17+H17</f>
        <v>217899280.10000002</v>
      </c>
      <c r="L17" s="87">
        <f>F17+I17</f>
        <v>215315298.02999997</v>
      </c>
      <c r="M17" s="87">
        <f t="shared" ref="M17:O17" si="2">SUM(M18:M25)</f>
        <v>3555564.51</v>
      </c>
      <c r="N17" s="87">
        <f t="shared" si="2"/>
        <v>0</v>
      </c>
      <c r="O17" s="87">
        <f t="shared" si="2"/>
        <v>0</v>
      </c>
      <c r="P17" s="87">
        <f>J17+M17</f>
        <v>262523192.32999998</v>
      </c>
      <c r="Q17" s="87">
        <f>K17+N17</f>
        <v>217899280.10000002</v>
      </c>
      <c r="R17" s="87">
        <f>L17+O17</f>
        <v>215315298.02999997</v>
      </c>
    </row>
    <row r="18" spans="1:18" ht="29.25" customHeight="1">
      <c r="A18" s="11" t="s">
        <v>45</v>
      </c>
      <c r="B18" s="1" t="s">
        <v>20</v>
      </c>
      <c r="C18" s="1" t="s">
        <v>17</v>
      </c>
      <c r="D18" s="83">
        <f>ведомств!J439</f>
        <v>3920905</v>
      </c>
      <c r="E18" s="83">
        <f>ведомств!K439</f>
        <v>3960114.35</v>
      </c>
      <c r="F18" s="83">
        <f>ведомств!L439</f>
        <v>3999715.49</v>
      </c>
      <c r="G18" s="83">
        <f>ведомств!M439</f>
        <v>0</v>
      </c>
      <c r="H18" s="83">
        <f>ведомств!N439</f>
        <v>0</v>
      </c>
      <c r="I18" s="83">
        <f>ведомств!O439</f>
        <v>0</v>
      </c>
      <c r="J18" s="83">
        <f>ведомств!P439</f>
        <v>3920905</v>
      </c>
      <c r="K18" s="83">
        <f>ведомств!Q439</f>
        <v>3960114.35</v>
      </c>
      <c r="L18" s="83">
        <f>ведомств!R439</f>
        <v>3999715.49</v>
      </c>
      <c r="M18" s="83">
        <f>ведомств!S439</f>
        <v>0</v>
      </c>
      <c r="N18" s="83">
        <f>ведомств!T439</f>
        <v>0</v>
      </c>
      <c r="O18" s="83">
        <f>ведомств!U439</f>
        <v>0</v>
      </c>
      <c r="P18" s="83">
        <f>ведомств!V439</f>
        <v>3920905</v>
      </c>
      <c r="Q18" s="83">
        <f>ведомств!W439</f>
        <v>3960114.35</v>
      </c>
      <c r="R18" s="83">
        <f>ведомств!X439</f>
        <v>3999715.49</v>
      </c>
    </row>
    <row r="19" spans="1:18" ht="38.25">
      <c r="A19" s="2" t="s">
        <v>33</v>
      </c>
      <c r="B19" s="1" t="s">
        <v>20</v>
      </c>
      <c r="C19" s="1" t="s">
        <v>13</v>
      </c>
      <c r="D19" s="83">
        <f>ведомств!J1730</f>
        <v>2935867</v>
      </c>
      <c r="E19" s="83">
        <f>ведомств!K1730</f>
        <v>2962777.96</v>
      </c>
      <c r="F19" s="83">
        <f>ведомств!L1730</f>
        <v>2989958.74</v>
      </c>
      <c r="G19" s="83">
        <f>ведомств!M1730</f>
        <v>0</v>
      </c>
      <c r="H19" s="83">
        <f>ведомств!N1730</f>
        <v>0</v>
      </c>
      <c r="I19" s="83">
        <f>ведомств!O1730</f>
        <v>0</v>
      </c>
      <c r="J19" s="83">
        <f t="shared" ref="J19:J80" si="3">D19+G19</f>
        <v>2935867</v>
      </c>
      <c r="K19" s="83">
        <f t="shared" ref="K19:K80" si="4">E19+H19</f>
        <v>2962777.96</v>
      </c>
      <c r="L19" s="83">
        <f t="shared" ref="L19:L80" si="5">F19+I19</f>
        <v>2989958.74</v>
      </c>
      <c r="M19" s="83">
        <f>ведомств!S1730</f>
        <v>0</v>
      </c>
      <c r="N19" s="83">
        <f>ведомств!T1730</f>
        <v>0</v>
      </c>
      <c r="O19" s="83">
        <f>ведомств!U1730</f>
        <v>0</v>
      </c>
      <c r="P19" s="83">
        <f t="shared" ref="P19:P24" si="6">J19+M19</f>
        <v>2935867</v>
      </c>
      <c r="Q19" s="83">
        <f t="shared" ref="Q19:Q24" si="7">K19+N19</f>
        <v>2962777.96</v>
      </c>
      <c r="R19" s="83">
        <f t="shared" ref="R19:R24" si="8">L19+O19</f>
        <v>2989958.74</v>
      </c>
    </row>
    <row r="20" spans="1:18" ht="38.25">
      <c r="A20" s="11" t="s">
        <v>0</v>
      </c>
      <c r="B20" s="1" t="s">
        <v>20</v>
      </c>
      <c r="C20" s="1" t="s">
        <v>16</v>
      </c>
      <c r="D20" s="83">
        <f>ведомств!J445</f>
        <v>111104872.36999999</v>
      </c>
      <c r="E20" s="83">
        <f>ведомств!K445</f>
        <v>112545617.75</v>
      </c>
      <c r="F20" s="83">
        <f>ведомств!L445</f>
        <v>112915487.33999999</v>
      </c>
      <c r="G20" s="83">
        <f>ведомств!M445</f>
        <v>35011.340000000004</v>
      </c>
      <c r="H20" s="83">
        <f>ведомств!N445</f>
        <v>-124756.98999999999</v>
      </c>
      <c r="I20" s="83">
        <f>ведомств!O445</f>
        <v>-518547.05000000005</v>
      </c>
      <c r="J20" s="83">
        <f>ведомств!P445</f>
        <v>111139883.71000001</v>
      </c>
      <c r="K20" s="83">
        <f>ведомств!Q445</f>
        <v>112420860.75999999</v>
      </c>
      <c r="L20" s="83">
        <f>ведомств!R445</f>
        <v>112396940.29000001</v>
      </c>
      <c r="M20" s="83">
        <f>ведомств!S445</f>
        <v>47500</v>
      </c>
      <c r="N20" s="83">
        <f>ведомств!T445</f>
        <v>0</v>
      </c>
      <c r="O20" s="83">
        <f>ведомств!U445</f>
        <v>0</v>
      </c>
      <c r="P20" s="83">
        <f>ведомств!V445</f>
        <v>111187383.71000001</v>
      </c>
      <c r="Q20" s="83">
        <f>ведомств!W445</f>
        <v>112420860.75999999</v>
      </c>
      <c r="R20" s="83">
        <f>ведомств!X445</f>
        <v>112396940.29000001</v>
      </c>
    </row>
    <row r="21" spans="1:18">
      <c r="A21" s="11" t="s">
        <v>191</v>
      </c>
      <c r="B21" s="1" t="s">
        <v>20</v>
      </c>
      <c r="C21" s="1" t="s">
        <v>18</v>
      </c>
      <c r="D21" s="83">
        <f>ведомств!J477</f>
        <v>2109.33</v>
      </c>
      <c r="E21" s="83">
        <f>ведомств!K477</f>
        <v>1879.4</v>
      </c>
      <c r="F21" s="83">
        <f>ведомств!L477</f>
        <v>1878.66</v>
      </c>
      <c r="G21" s="83">
        <f>ведомств!M477</f>
        <v>-1389.42</v>
      </c>
      <c r="H21" s="83">
        <f>ведомств!N477</f>
        <v>-1122.7</v>
      </c>
      <c r="I21" s="83">
        <f>ведомств!O477</f>
        <v>-1203.98</v>
      </c>
      <c r="J21" s="83">
        <f>ведомств!P477</f>
        <v>719.90999999999985</v>
      </c>
      <c r="K21" s="83">
        <f>ведомств!Q477</f>
        <v>756.7</v>
      </c>
      <c r="L21" s="83">
        <f>ведомств!R477</f>
        <v>674.68000000000006</v>
      </c>
      <c r="M21" s="83">
        <f>ведомств!S477</f>
        <v>0</v>
      </c>
      <c r="N21" s="83">
        <f>ведомств!T477</f>
        <v>0</v>
      </c>
      <c r="O21" s="83">
        <f>ведомств!U477</f>
        <v>0</v>
      </c>
      <c r="P21" s="83">
        <f>ведомств!V477</f>
        <v>719.90999999999985</v>
      </c>
      <c r="Q21" s="83">
        <f>ведомств!W477</f>
        <v>756.7</v>
      </c>
      <c r="R21" s="83">
        <f>ведомств!X477</f>
        <v>674.68000000000006</v>
      </c>
    </row>
    <row r="22" spans="1:18" ht="25.5">
      <c r="A22" s="7" t="s">
        <v>34</v>
      </c>
      <c r="B22" s="1" t="s">
        <v>20</v>
      </c>
      <c r="C22" s="1" t="s">
        <v>3</v>
      </c>
      <c r="D22" s="83">
        <f>ведомств!J1745+ведомств!J410</f>
        <v>23200431</v>
      </c>
      <c r="E22" s="83">
        <f>ведомств!K1745+ведомств!K410</f>
        <v>23416931.289999999</v>
      </c>
      <c r="F22" s="83">
        <f>ведомств!L1745+ведомств!L410</f>
        <v>23502596.600000001</v>
      </c>
      <c r="G22" s="83">
        <f>ведомств!M1745+ведомств!M410</f>
        <v>0</v>
      </c>
      <c r="H22" s="83">
        <f>ведомств!N1745+ведомств!N410</f>
        <v>0</v>
      </c>
      <c r="I22" s="83">
        <f>ведомств!O1745+ведомств!O410</f>
        <v>0</v>
      </c>
      <c r="J22" s="83">
        <f t="shared" si="3"/>
        <v>23200431</v>
      </c>
      <c r="K22" s="83">
        <f t="shared" si="4"/>
        <v>23416931.289999999</v>
      </c>
      <c r="L22" s="83">
        <f t="shared" si="5"/>
        <v>23502596.600000001</v>
      </c>
      <c r="M22" s="83">
        <f>ведомств!S1745+ведомств!S410</f>
        <v>0</v>
      </c>
      <c r="N22" s="83">
        <f>ведомств!T1745+ведомств!T410</f>
        <v>0</v>
      </c>
      <c r="O22" s="83">
        <f>ведомств!U1745+ведомств!U410</f>
        <v>0</v>
      </c>
      <c r="P22" s="83">
        <f t="shared" si="6"/>
        <v>23200431</v>
      </c>
      <c r="Q22" s="83">
        <f t="shared" si="7"/>
        <v>23416931.289999999</v>
      </c>
      <c r="R22" s="83">
        <f t="shared" si="8"/>
        <v>23502596.600000001</v>
      </c>
    </row>
    <row r="23" spans="1:18" hidden="1">
      <c r="A23" s="5" t="s">
        <v>64</v>
      </c>
      <c r="B23" s="1" t="s">
        <v>20</v>
      </c>
      <c r="C23" s="1" t="s">
        <v>2</v>
      </c>
      <c r="D23" s="83"/>
      <c r="E23" s="83"/>
      <c r="F23" s="83"/>
      <c r="G23" s="83"/>
      <c r="H23" s="83"/>
      <c r="I23" s="83"/>
      <c r="J23" s="83">
        <f t="shared" si="3"/>
        <v>0</v>
      </c>
      <c r="K23" s="83">
        <f t="shared" si="4"/>
        <v>0</v>
      </c>
      <c r="L23" s="83">
        <f t="shared" si="5"/>
        <v>0</v>
      </c>
      <c r="M23" s="83"/>
      <c r="N23" s="83"/>
      <c r="O23" s="83"/>
      <c r="P23" s="83">
        <f t="shared" si="6"/>
        <v>0</v>
      </c>
      <c r="Q23" s="83">
        <f t="shared" si="7"/>
        <v>0</v>
      </c>
      <c r="R23" s="83">
        <f t="shared" si="8"/>
        <v>0</v>
      </c>
    </row>
    <row r="24" spans="1:18">
      <c r="A24" s="2" t="s">
        <v>22</v>
      </c>
      <c r="B24" s="1" t="s">
        <v>20</v>
      </c>
      <c r="C24" s="1" t="s">
        <v>19</v>
      </c>
      <c r="D24" s="83">
        <f>ведомств!J419</f>
        <v>3382000</v>
      </c>
      <c r="E24" s="83">
        <f>ведомств!K419</f>
        <v>2000000</v>
      </c>
      <c r="F24" s="83">
        <f>ведомств!L419</f>
        <v>1500000</v>
      </c>
      <c r="G24" s="83">
        <f>ведомств!M419</f>
        <v>0</v>
      </c>
      <c r="H24" s="83">
        <f>ведомств!N419</f>
        <v>0</v>
      </c>
      <c r="I24" s="83">
        <f>ведомств!O419</f>
        <v>0</v>
      </c>
      <c r="J24" s="83">
        <f t="shared" si="3"/>
        <v>3382000</v>
      </c>
      <c r="K24" s="83">
        <f t="shared" si="4"/>
        <v>2000000</v>
      </c>
      <c r="L24" s="83">
        <f t="shared" si="5"/>
        <v>1500000</v>
      </c>
      <c r="M24" s="83">
        <f>ведомств!S419</f>
        <v>-1743883.76</v>
      </c>
      <c r="N24" s="83">
        <f>ведомств!T419</f>
        <v>0</v>
      </c>
      <c r="O24" s="83">
        <f>ведомств!U419</f>
        <v>0</v>
      </c>
      <c r="P24" s="83">
        <f t="shared" si="6"/>
        <v>1638116.24</v>
      </c>
      <c r="Q24" s="83">
        <f t="shared" si="7"/>
        <v>2000000</v>
      </c>
      <c r="R24" s="83">
        <f t="shared" si="8"/>
        <v>1500000</v>
      </c>
    </row>
    <row r="25" spans="1:18">
      <c r="A25" s="2" t="s">
        <v>1</v>
      </c>
      <c r="B25" s="1" t="s">
        <v>20</v>
      </c>
      <c r="C25" s="1" t="s">
        <v>49</v>
      </c>
      <c r="D25" s="83">
        <f>ведомств!J19+ведомств!J483+ведомств!J425+ведомств!J356</f>
        <v>84351004.390000001</v>
      </c>
      <c r="E25" s="83">
        <f>ведомств!K19+ведомств!K483+ведомств!K425+ведомств!K356</f>
        <v>73137839.040000007</v>
      </c>
      <c r="F25" s="83">
        <f>ведомств!L19+ведомств!L483+ведомств!L425+ведомств!L356</f>
        <v>70925412.229999989</v>
      </c>
      <c r="G25" s="83">
        <f>ведомств!M19+ведомств!M483+ведомств!M425+ведомств!M356</f>
        <v>30036816.810000002</v>
      </c>
      <c r="H25" s="83">
        <f>ведомств!N19+ведомств!N483+ведомств!N425+ведомств!N356</f>
        <v>0</v>
      </c>
      <c r="I25" s="83">
        <f>ведомств!O19+ведомств!O483+ведомств!O425+ведомств!O356</f>
        <v>0</v>
      </c>
      <c r="J25" s="83">
        <f>ведомств!P19+ведомств!P483+ведомств!P425+ведомств!P356</f>
        <v>114387821.19999999</v>
      </c>
      <c r="K25" s="83">
        <f>ведомств!Q19+ведомств!Q483+ведомств!Q425+ведомств!Q356</f>
        <v>73137839.040000007</v>
      </c>
      <c r="L25" s="83">
        <f>ведомств!R19+ведомств!R483+ведомств!R425+ведомств!R356</f>
        <v>70925412.229999989</v>
      </c>
      <c r="M25" s="83">
        <f>ведомств!S19+ведомств!S483+ведомств!S425+ведомств!S356</f>
        <v>5251948.2699999996</v>
      </c>
      <c r="N25" s="83">
        <f>ведомств!T19+ведомств!T483+ведомств!T425+ведомств!T356</f>
        <v>0</v>
      </c>
      <c r="O25" s="83">
        <f>ведомств!U19+ведомств!U483+ведомств!U425+ведомств!U356</f>
        <v>0</v>
      </c>
      <c r="P25" s="83">
        <f>ведомств!V19+ведомств!V483+ведомств!V425+ведомств!V356</f>
        <v>119639769.47</v>
      </c>
      <c r="Q25" s="83">
        <f>ведомств!W19+ведомств!W483+ведомств!W425+ведомств!W356</f>
        <v>73137839.040000007</v>
      </c>
      <c r="R25" s="83">
        <f>ведомств!X19+ведомств!X483+ведомств!X425+ведомств!X356</f>
        <v>70925412.229999989</v>
      </c>
    </row>
    <row r="26" spans="1:18">
      <c r="A26" s="56"/>
      <c r="B26" s="37"/>
      <c r="C26" s="37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  <row r="27" spans="1:18">
      <c r="A27" s="6" t="s">
        <v>54</v>
      </c>
      <c r="B27" s="14" t="s">
        <v>17</v>
      </c>
      <c r="C27" s="1"/>
      <c r="D27" s="87">
        <f>+D28</f>
        <v>621621.58000000007</v>
      </c>
      <c r="E27" s="87">
        <f t="shared" ref="E27:I27" si="9">+E28</f>
        <v>650717.02999999991</v>
      </c>
      <c r="F27" s="87">
        <f t="shared" si="9"/>
        <v>669603.63</v>
      </c>
      <c r="G27" s="87">
        <f t="shared" si="9"/>
        <v>11605.619999999995</v>
      </c>
      <c r="H27" s="87">
        <f t="shared" si="9"/>
        <v>12144.13</v>
      </c>
      <c r="I27" s="87">
        <f t="shared" si="9"/>
        <v>17529.900000000001</v>
      </c>
      <c r="J27" s="87">
        <f t="shared" si="3"/>
        <v>633227.20000000007</v>
      </c>
      <c r="K27" s="87">
        <f t="shared" si="4"/>
        <v>662861.15999999992</v>
      </c>
      <c r="L27" s="87">
        <f t="shared" si="5"/>
        <v>687133.53</v>
      </c>
      <c r="M27" s="87">
        <f t="shared" ref="M27:O27" si="10">+M28</f>
        <v>0</v>
      </c>
      <c r="N27" s="87">
        <f t="shared" si="10"/>
        <v>0</v>
      </c>
      <c r="O27" s="87">
        <f t="shared" si="10"/>
        <v>0</v>
      </c>
      <c r="P27" s="87">
        <f t="shared" ref="P27:P32" si="11">J27+M27</f>
        <v>633227.20000000007</v>
      </c>
      <c r="Q27" s="87">
        <f t="shared" ref="Q27:Q32" si="12">K27+N27</f>
        <v>662861.15999999992</v>
      </c>
      <c r="R27" s="87">
        <f t="shared" ref="R27:R32" si="13">L27+O27</f>
        <v>687133.53</v>
      </c>
    </row>
    <row r="28" spans="1:18">
      <c r="A28" s="5" t="s">
        <v>55</v>
      </c>
      <c r="B28" s="1" t="s">
        <v>17</v>
      </c>
      <c r="C28" s="1" t="s">
        <v>13</v>
      </c>
      <c r="D28" s="83">
        <f>ведомств!J520</f>
        <v>621621.58000000007</v>
      </c>
      <c r="E28" s="83">
        <f>ведомств!K520</f>
        <v>650717.02999999991</v>
      </c>
      <c r="F28" s="83">
        <f>ведомств!L520</f>
        <v>669603.63</v>
      </c>
      <c r="G28" s="83">
        <f>ведомств!M520</f>
        <v>11605.619999999995</v>
      </c>
      <c r="H28" s="83">
        <f>ведомств!N520</f>
        <v>12144.13</v>
      </c>
      <c r="I28" s="83">
        <f>ведомств!O520</f>
        <v>17529.900000000001</v>
      </c>
      <c r="J28" s="83">
        <f>ведомств!P520</f>
        <v>633227.19999999995</v>
      </c>
      <c r="K28" s="83">
        <f>ведомств!Q520</f>
        <v>662861.15999999992</v>
      </c>
      <c r="L28" s="83">
        <f>ведомств!R520</f>
        <v>687133.53</v>
      </c>
      <c r="M28" s="83">
        <f>ведомств!S520</f>
        <v>0</v>
      </c>
      <c r="N28" s="83">
        <f>ведомств!T520</f>
        <v>0</v>
      </c>
      <c r="O28" s="83">
        <f>ведомств!U520</f>
        <v>0</v>
      </c>
      <c r="P28" s="83">
        <f>ведомств!V520</f>
        <v>633227.19999999995</v>
      </c>
      <c r="Q28" s="83">
        <f>ведомств!W520</f>
        <v>662861.15999999992</v>
      </c>
      <c r="R28" s="83">
        <f>ведомств!X520</f>
        <v>687133.53</v>
      </c>
    </row>
    <row r="29" spans="1:18" ht="12.75" customHeight="1">
      <c r="A29" s="56"/>
      <c r="B29" s="37"/>
      <c r="C29" s="37"/>
      <c r="D29" s="83"/>
      <c r="E29" s="83"/>
      <c r="F29" s="83"/>
      <c r="G29" s="83"/>
      <c r="H29" s="83"/>
      <c r="I29" s="83"/>
      <c r="J29" s="83">
        <f t="shared" si="3"/>
        <v>0</v>
      </c>
      <c r="K29" s="83">
        <f t="shared" si="4"/>
        <v>0</v>
      </c>
      <c r="L29" s="83">
        <f t="shared" si="5"/>
        <v>0</v>
      </c>
      <c r="M29" s="83"/>
      <c r="N29" s="83"/>
      <c r="O29" s="83"/>
      <c r="P29" s="83">
        <f t="shared" si="11"/>
        <v>0</v>
      </c>
      <c r="Q29" s="83">
        <f t="shared" si="12"/>
        <v>0</v>
      </c>
      <c r="R29" s="83">
        <f t="shared" si="13"/>
        <v>0</v>
      </c>
    </row>
    <row r="30" spans="1:18" ht="12.75" customHeight="1">
      <c r="A30" s="6" t="s">
        <v>26</v>
      </c>
      <c r="B30" s="14" t="s">
        <v>13</v>
      </c>
      <c r="C30" s="1"/>
      <c r="D30" s="87">
        <f>SUM(D31:D34)</f>
        <v>5759468</v>
      </c>
      <c r="E30" s="87">
        <f t="shared" ref="E30:F30" si="14">SUM(E31:E34)</f>
        <v>4408686.72</v>
      </c>
      <c r="F30" s="87">
        <f t="shared" si="14"/>
        <v>3122434.19</v>
      </c>
      <c r="G30" s="87">
        <f t="shared" ref="G30:I30" si="15">SUM(G31:G34)</f>
        <v>0</v>
      </c>
      <c r="H30" s="87">
        <f t="shared" si="15"/>
        <v>0</v>
      </c>
      <c r="I30" s="87">
        <f t="shared" si="15"/>
        <v>0</v>
      </c>
      <c r="J30" s="87">
        <f t="shared" si="3"/>
        <v>5759468</v>
      </c>
      <c r="K30" s="87">
        <f t="shared" si="4"/>
        <v>4408686.72</v>
      </c>
      <c r="L30" s="87">
        <f t="shared" si="5"/>
        <v>3122434.19</v>
      </c>
      <c r="M30" s="87">
        <f t="shared" ref="M30:O30" si="16">SUM(M31:M34)</f>
        <v>0</v>
      </c>
      <c r="N30" s="87">
        <f t="shared" si="16"/>
        <v>0</v>
      </c>
      <c r="O30" s="87">
        <f t="shared" si="16"/>
        <v>0</v>
      </c>
      <c r="P30" s="87">
        <f t="shared" si="11"/>
        <v>5759468</v>
      </c>
      <c r="Q30" s="87">
        <f t="shared" si="12"/>
        <v>4408686.72</v>
      </c>
      <c r="R30" s="87">
        <f t="shared" si="13"/>
        <v>3122434.19</v>
      </c>
    </row>
    <row r="31" spans="1:18" hidden="1">
      <c r="A31" s="80" t="s">
        <v>138</v>
      </c>
      <c r="B31" s="10" t="s">
        <v>13</v>
      </c>
      <c r="C31" s="1" t="s">
        <v>17</v>
      </c>
      <c r="D31" s="91"/>
      <c r="E31" s="91"/>
      <c r="F31" s="91"/>
      <c r="G31" s="91"/>
      <c r="H31" s="91"/>
      <c r="I31" s="91"/>
      <c r="J31" s="91">
        <f t="shared" si="3"/>
        <v>0</v>
      </c>
      <c r="K31" s="91">
        <f t="shared" si="4"/>
        <v>0</v>
      </c>
      <c r="L31" s="91">
        <f t="shared" si="5"/>
        <v>0</v>
      </c>
      <c r="M31" s="91"/>
      <c r="N31" s="91"/>
      <c r="O31" s="91"/>
      <c r="P31" s="91">
        <f t="shared" si="11"/>
        <v>0</v>
      </c>
      <c r="Q31" s="91">
        <f t="shared" si="12"/>
        <v>0</v>
      </c>
      <c r="R31" s="91">
        <f t="shared" si="13"/>
        <v>0</v>
      </c>
    </row>
    <row r="32" spans="1:18" hidden="1">
      <c r="A32" s="2" t="s">
        <v>229</v>
      </c>
      <c r="B32" s="1" t="s">
        <v>13</v>
      </c>
      <c r="C32" s="1" t="s">
        <v>14</v>
      </c>
      <c r="D32" s="83"/>
      <c r="E32" s="83"/>
      <c r="F32" s="83"/>
      <c r="G32" s="83"/>
      <c r="H32" s="83"/>
      <c r="I32" s="83"/>
      <c r="J32" s="83">
        <f t="shared" si="3"/>
        <v>0</v>
      </c>
      <c r="K32" s="83">
        <f t="shared" si="4"/>
        <v>0</v>
      </c>
      <c r="L32" s="83">
        <f t="shared" si="5"/>
        <v>0</v>
      </c>
      <c r="M32" s="83"/>
      <c r="N32" s="83"/>
      <c r="O32" s="83"/>
      <c r="P32" s="83">
        <f t="shared" si="11"/>
        <v>0</v>
      </c>
      <c r="Q32" s="83">
        <f t="shared" si="12"/>
        <v>0</v>
      </c>
      <c r="R32" s="83">
        <f t="shared" si="13"/>
        <v>0</v>
      </c>
    </row>
    <row r="33" spans="1:18" ht="25.5">
      <c r="A33" s="12" t="s">
        <v>230</v>
      </c>
      <c r="B33" s="1" t="s">
        <v>13</v>
      </c>
      <c r="C33" s="1" t="s">
        <v>30</v>
      </c>
      <c r="D33" s="83">
        <f>ведомств!J529</f>
        <v>5689468</v>
      </c>
      <c r="E33" s="83">
        <f>ведомств!K529</f>
        <v>4338686.72</v>
      </c>
      <c r="F33" s="83">
        <f>ведомств!L529</f>
        <v>3052434.19</v>
      </c>
      <c r="G33" s="83">
        <f>ведомств!M529</f>
        <v>0</v>
      </c>
      <c r="H33" s="83">
        <f>ведомств!N529</f>
        <v>0</v>
      </c>
      <c r="I33" s="83">
        <f>ведомств!O529</f>
        <v>0</v>
      </c>
      <c r="J33" s="83">
        <f>ведомств!P529</f>
        <v>5689468</v>
      </c>
      <c r="K33" s="83">
        <f>ведомств!Q529</f>
        <v>4338686.72</v>
      </c>
      <c r="L33" s="83">
        <f>ведомств!R529</f>
        <v>3052434.19</v>
      </c>
      <c r="M33" s="83">
        <f>ведомств!S529</f>
        <v>0</v>
      </c>
      <c r="N33" s="83">
        <f>ведомств!T529</f>
        <v>0</v>
      </c>
      <c r="O33" s="83">
        <f>ведомств!U529</f>
        <v>0</v>
      </c>
      <c r="P33" s="83">
        <f>ведомств!V529</f>
        <v>5689468</v>
      </c>
      <c r="Q33" s="83">
        <f>ведомств!W529</f>
        <v>4338686.72</v>
      </c>
      <c r="R33" s="83">
        <f>ведомств!X529</f>
        <v>3052434.19</v>
      </c>
    </row>
    <row r="34" spans="1:18" ht="25.5">
      <c r="A34" s="12" t="s">
        <v>192</v>
      </c>
      <c r="B34" s="1" t="s">
        <v>13</v>
      </c>
      <c r="C34" s="1" t="s">
        <v>29</v>
      </c>
      <c r="D34" s="83">
        <f>ведомств!J550</f>
        <v>70000</v>
      </c>
      <c r="E34" s="83">
        <f>ведомств!K550</f>
        <v>70000</v>
      </c>
      <c r="F34" s="83">
        <f>ведомств!L550</f>
        <v>70000</v>
      </c>
      <c r="G34" s="83">
        <f>ведомств!M550</f>
        <v>0</v>
      </c>
      <c r="H34" s="83">
        <f>ведомств!N550</f>
        <v>0</v>
      </c>
      <c r="I34" s="83">
        <f>ведомств!O550</f>
        <v>0</v>
      </c>
      <c r="J34" s="83">
        <f>ведомств!P550</f>
        <v>70000</v>
      </c>
      <c r="K34" s="83">
        <f>ведомств!Q550</f>
        <v>70000</v>
      </c>
      <c r="L34" s="83">
        <f>ведомств!R550</f>
        <v>70000</v>
      </c>
      <c r="M34" s="83">
        <f>ведомств!S550</f>
        <v>0</v>
      </c>
      <c r="N34" s="83">
        <f>ведомств!T550</f>
        <v>0</v>
      </c>
      <c r="O34" s="83">
        <f>ведомств!U550</f>
        <v>0</v>
      </c>
      <c r="P34" s="83">
        <f>ведомств!V550</f>
        <v>70000</v>
      </c>
      <c r="Q34" s="83">
        <f>ведомств!W550</f>
        <v>70000</v>
      </c>
      <c r="R34" s="83">
        <f>ведомств!X550</f>
        <v>70000</v>
      </c>
    </row>
    <row r="35" spans="1:18">
      <c r="A35" s="56"/>
      <c r="B35" s="37"/>
      <c r="C35" s="37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</row>
    <row r="36" spans="1:18">
      <c r="A36" s="4" t="s">
        <v>15</v>
      </c>
      <c r="B36" s="57" t="s">
        <v>16</v>
      </c>
      <c r="C36" s="3"/>
      <c r="D36" s="87">
        <f>SUM(D37:D40)</f>
        <v>61250989</v>
      </c>
      <c r="E36" s="87">
        <f t="shared" ref="E36:F36" si="17">SUM(E37:E40)</f>
        <v>32635565.830000002</v>
      </c>
      <c r="F36" s="87">
        <f t="shared" si="17"/>
        <v>34177643.159999996</v>
      </c>
      <c r="G36" s="87">
        <f t="shared" ref="G36:I36" si="18">SUM(G37:G40)</f>
        <v>13136625.350000001</v>
      </c>
      <c r="H36" s="87">
        <f t="shared" si="18"/>
        <v>0</v>
      </c>
      <c r="I36" s="87">
        <f t="shared" si="18"/>
        <v>0</v>
      </c>
      <c r="J36" s="87">
        <f t="shared" si="3"/>
        <v>74387614.349999994</v>
      </c>
      <c r="K36" s="87">
        <f t="shared" si="4"/>
        <v>32635565.830000002</v>
      </c>
      <c r="L36" s="87">
        <f t="shared" si="5"/>
        <v>34177643.159999996</v>
      </c>
      <c r="M36" s="87">
        <f t="shared" ref="M36:O36" si="19">SUM(M37:M40)</f>
        <v>88528037.019999996</v>
      </c>
      <c r="N36" s="87">
        <f t="shared" si="19"/>
        <v>0</v>
      </c>
      <c r="O36" s="87">
        <f t="shared" si="19"/>
        <v>0</v>
      </c>
      <c r="P36" s="87">
        <f t="shared" ref="P36" si="20">J36+M36</f>
        <v>162915651.37</v>
      </c>
      <c r="Q36" s="87">
        <f t="shared" ref="Q36" si="21">K36+N36</f>
        <v>32635565.830000002</v>
      </c>
      <c r="R36" s="87">
        <f t="shared" ref="R36" si="22">L36+O36</f>
        <v>34177643.159999996</v>
      </c>
    </row>
    <row r="37" spans="1:18">
      <c r="A37" s="2" t="s">
        <v>36</v>
      </c>
      <c r="B37" s="1" t="s">
        <v>16</v>
      </c>
      <c r="C37" s="1" t="s">
        <v>18</v>
      </c>
      <c r="D37" s="83">
        <f>ведомств!J565</f>
        <v>575200</v>
      </c>
      <c r="E37" s="83">
        <f>ведомств!K565</f>
        <v>580479.06999999995</v>
      </c>
      <c r="F37" s="83">
        <f>ведомств!L565</f>
        <v>1035783.86</v>
      </c>
      <c r="G37" s="83">
        <f>ведомств!M565</f>
        <v>0</v>
      </c>
      <c r="H37" s="83">
        <f>ведомств!N565</f>
        <v>0</v>
      </c>
      <c r="I37" s="83">
        <f>ведомств!O565</f>
        <v>0</v>
      </c>
      <c r="J37" s="83">
        <f>ведомств!P565</f>
        <v>575200</v>
      </c>
      <c r="K37" s="83">
        <f>ведомств!Q565</f>
        <v>580479.06999999995</v>
      </c>
      <c r="L37" s="83">
        <f>ведомств!R565</f>
        <v>1035783.86</v>
      </c>
      <c r="M37" s="83">
        <f>ведомств!S565</f>
        <v>0</v>
      </c>
      <c r="N37" s="83">
        <f>ведомств!T565</f>
        <v>0</v>
      </c>
      <c r="O37" s="83">
        <f>ведомств!U565</f>
        <v>0</v>
      </c>
      <c r="P37" s="83">
        <f>ведомств!V565</f>
        <v>575200</v>
      </c>
      <c r="Q37" s="83">
        <f>ведомств!W565</f>
        <v>580479.06999999995</v>
      </c>
      <c r="R37" s="83">
        <f>ведомств!X565</f>
        <v>1035783.86</v>
      </c>
    </row>
    <row r="38" spans="1:18">
      <c r="A38" s="2" t="s">
        <v>23</v>
      </c>
      <c r="B38" s="1" t="s">
        <v>16</v>
      </c>
      <c r="C38" s="1" t="s">
        <v>27</v>
      </c>
      <c r="D38" s="83">
        <f>ведомств!J578</f>
        <v>30941700</v>
      </c>
      <c r="E38" s="83">
        <f>ведомств!K578</f>
        <v>5569055.0700000003</v>
      </c>
      <c r="F38" s="83">
        <f>ведомств!L578</f>
        <v>5595727.6200000001</v>
      </c>
      <c r="G38" s="83">
        <f>ведомств!M578</f>
        <v>3728658.14</v>
      </c>
      <c r="H38" s="83">
        <f>ведомств!N578</f>
        <v>0</v>
      </c>
      <c r="I38" s="83">
        <f>ведомств!O578</f>
        <v>0</v>
      </c>
      <c r="J38" s="83">
        <f>ведомств!P578</f>
        <v>34670358.140000001</v>
      </c>
      <c r="K38" s="83">
        <f>ведомств!Q578</f>
        <v>5569055.0700000003</v>
      </c>
      <c r="L38" s="83">
        <f>ведомств!R578</f>
        <v>5595727.6200000001</v>
      </c>
      <c r="M38" s="83">
        <f>ведомств!S578+ведомств!S371</f>
        <v>9319506.129999999</v>
      </c>
      <c r="N38" s="83">
        <f>ведомств!T578+ведомств!T371</f>
        <v>0</v>
      </c>
      <c r="O38" s="83">
        <f>ведомств!U578+ведомств!U371</f>
        <v>0</v>
      </c>
      <c r="P38" s="83">
        <f>ведомств!V578+ведомств!V371</f>
        <v>43989864.270000003</v>
      </c>
      <c r="Q38" s="83">
        <f>ведомств!W578+ведомств!W371</f>
        <v>5569055.0700000003</v>
      </c>
      <c r="R38" s="83">
        <f>ведомств!X578+ведомств!X371</f>
        <v>5595727.6200000001</v>
      </c>
    </row>
    <row r="39" spans="1:18">
      <c r="A39" s="2" t="s">
        <v>60</v>
      </c>
      <c r="B39" s="1" t="s">
        <v>16</v>
      </c>
      <c r="C39" s="1" t="s">
        <v>14</v>
      </c>
      <c r="D39" s="83">
        <f>ведомств!J601</f>
        <v>27679339</v>
      </c>
      <c r="E39" s="83">
        <f>ведомств!K601</f>
        <v>26191349.690000001</v>
      </c>
      <c r="F39" s="83">
        <f>ведомств!L601</f>
        <v>27031449.68</v>
      </c>
      <c r="G39" s="83">
        <f>ведомств!M601</f>
        <v>9407967.2100000009</v>
      </c>
      <c r="H39" s="83">
        <f>ведомств!N601</f>
        <v>0</v>
      </c>
      <c r="I39" s="83">
        <f>ведомств!O601</f>
        <v>0</v>
      </c>
      <c r="J39" s="83">
        <f>ведомств!P601</f>
        <v>37087306.210000001</v>
      </c>
      <c r="K39" s="83">
        <f>ведомств!Q601</f>
        <v>26191349.690000001</v>
      </c>
      <c r="L39" s="83">
        <f>ведомств!R601</f>
        <v>27031449.68</v>
      </c>
      <c r="M39" s="83">
        <f>ведомств!S601</f>
        <v>79208530.890000001</v>
      </c>
      <c r="N39" s="83">
        <f>ведомств!T601</f>
        <v>0</v>
      </c>
      <c r="O39" s="83">
        <f>ведомств!U601</f>
        <v>0</v>
      </c>
      <c r="P39" s="83">
        <f>ведомств!V601</f>
        <v>116295837.09999999</v>
      </c>
      <c r="Q39" s="83">
        <f>ведомств!W601</f>
        <v>26191349.690000001</v>
      </c>
      <c r="R39" s="83">
        <f>ведомств!X601</f>
        <v>27031449.68</v>
      </c>
    </row>
    <row r="40" spans="1:18">
      <c r="A40" s="2" t="s">
        <v>37</v>
      </c>
      <c r="B40" s="1" t="s">
        <v>16</v>
      </c>
      <c r="C40" s="1" t="s">
        <v>31</v>
      </c>
      <c r="D40" s="83">
        <f>ведомств!J631+ведомств!J377</f>
        <v>2054750</v>
      </c>
      <c r="E40" s="83">
        <f>ведомств!K631+ведомств!K377</f>
        <v>294682</v>
      </c>
      <c r="F40" s="83">
        <f>ведомств!L631+ведомств!L377</f>
        <v>514682</v>
      </c>
      <c r="G40" s="83">
        <f>ведомств!M631+ведомств!M377</f>
        <v>0</v>
      </c>
      <c r="H40" s="83">
        <f>ведомств!N631+ведомств!N377</f>
        <v>0</v>
      </c>
      <c r="I40" s="83">
        <f>ведомств!O631+ведомств!O377</f>
        <v>0</v>
      </c>
      <c r="J40" s="83">
        <f>ведомств!P631+ведомств!P377</f>
        <v>2054750</v>
      </c>
      <c r="K40" s="83">
        <f>ведомств!Q631+ведомств!Q377</f>
        <v>294682</v>
      </c>
      <c r="L40" s="83">
        <f>ведомств!R631+ведомств!R377</f>
        <v>514682</v>
      </c>
      <c r="M40" s="83">
        <f>ведомств!S631+ведомств!S377</f>
        <v>0</v>
      </c>
      <c r="N40" s="83">
        <f>ведомств!T631+ведомств!T377</f>
        <v>0</v>
      </c>
      <c r="O40" s="83">
        <f>ведомств!U631+ведомств!U377</f>
        <v>0</v>
      </c>
      <c r="P40" s="83">
        <f>ведомств!V631+ведомств!V377</f>
        <v>2054750</v>
      </c>
      <c r="Q40" s="83">
        <f>ведомств!W631+ведомств!W377</f>
        <v>294682</v>
      </c>
      <c r="R40" s="83">
        <f>ведомств!X631+ведомств!X377</f>
        <v>514682</v>
      </c>
    </row>
    <row r="41" spans="1:18">
      <c r="A41" s="56"/>
      <c r="B41" s="37"/>
      <c r="C41" s="37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</row>
    <row r="42" spans="1:18">
      <c r="A42" s="62" t="s">
        <v>46</v>
      </c>
      <c r="B42" s="57" t="s">
        <v>18</v>
      </c>
      <c r="C42" s="37"/>
      <c r="D42" s="87">
        <f t="shared" ref="D42:I42" si="23">SUM(D43:D46)</f>
        <v>54346555.200000003</v>
      </c>
      <c r="E42" s="87">
        <f t="shared" si="23"/>
        <v>29866746.900000002</v>
      </c>
      <c r="F42" s="87">
        <f t="shared" si="23"/>
        <v>29708006.140000001</v>
      </c>
      <c r="G42" s="87">
        <f t="shared" si="23"/>
        <v>4545037.67</v>
      </c>
      <c r="H42" s="87">
        <f t="shared" si="23"/>
        <v>2228470.13</v>
      </c>
      <c r="I42" s="87">
        <f t="shared" si="23"/>
        <v>0</v>
      </c>
      <c r="J42" s="87">
        <f t="shared" si="3"/>
        <v>58891592.870000005</v>
      </c>
      <c r="K42" s="87">
        <f t="shared" si="4"/>
        <v>32095217.030000001</v>
      </c>
      <c r="L42" s="87">
        <f t="shared" si="5"/>
        <v>29708006.140000001</v>
      </c>
      <c r="M42" s="87">
        <f>SUM(M43:M46)</f>
        <v>1386514.11</v>
      </c>
      <c r="N42" s="87">
        <f>SUM(N43:N46)</f>
        <v>0</v>
      </c>
      <c r="O42" s="87">
        <f>SUM(O43:O46)</f>
        <v>0</v>
      </c>
      <c r="P42" s="87">
        <f t="shared" ref="P42" si="24">J42+M42</f>
        <v>60278106.980000004</v>
      </c>
      <c r="Q42" s="87">
        <f t="shared" ref="Q42" si="25">K42+N42</f>
        <v>32095217.030000001</v>
      </c>
      <c r="R42" s="87">
        <f t="shared" ref="R42" si="26">L42+O42</f>
        <v>29708006.140000001</v>
      </c>
    </row>
    <row r="43" spans="1:18">
      <c r="A43" s="113" t="s">
        <v>61</v>
      </c>
      <c r="B43" s="1" t="s">
        <v>18</v>
      </c>
      <c r="C43" s="1" t="s">
        <v>20</v>
      </c>
      <c r="D43" s="83">
        <f>ведомств!J648+ведомств!J384</f>
        <v>16319870.199999999</v>
      </c>
      <c r="E43" s="83">
        <f>ведомств!K648+ведомств!K384</f>
        <v>4041522.32</v>
      </c>
      <c r="F43" s="83">
        <f>ведомств!L648+ведомств!L384</f>
        <v>3955863.21</v>
      </c>
      <c r="G43" s="83">
        <f>ведомств!M648+ведомств!M384</f>
        <v>600000</v>
      </c>
      <c r="H43" s="83">
        <f>ведомств!N648+ведомств!N384</f>
        <v>0</v>
      </c>
      <c r="I43" s="83">
        <f>ведомств!O648+ведомств!O384</f>
        <v>0</v>
      </c>
      <c r="J43" s="83">
        <f>ведомств!P648+ведомств!P384</f>
        <v>16919870.199999999</v>
      </c>
      <c r="K43" s="83">
        <f>ведомств!Q648+ведомств!Q384</f>
        <v>4041522.32</v>
      </c>
      <c r="L43" s="83">
        <f>ведомств!R648+ведомств!R384</f>
        <v>3955863.21</v>
      </c>
      <c r="M43" s="83">
        <f>ведомств!S648+ведомств!S384</f>
        <v>10662.8</v>
      </c>
      <c r="N43" s="83">
        <f>ведомств!T648+ведомств!T384</f>
        <v>0</v>
      </c>
      <c r="O43" s="83">
        <f>ведомств!U648+ведомств!U384</f>
        <v>0</v>
      </c>
      <c r="P43" s="83">
        <f>ведомств!V648+ведомств!V384</f>
        <v>16930533</v>
      </c>
      <c r="Q43" s="83">
        <f>ведомств!W648+ведомств!W384</f>
        <v>4041522.32</v>
      </c>
      <c r="R43" s="83">
        <f>ведомств!X648+ведомств!X384</f>
        <v>3955863.21</v>
      </c>
    </row>
    <row r="44" spans="1:18">
      <c r="A44" s="113" t="s">
        <v>47</v>
      </c>
      <c r="B44" s="1" t="s">
        <v>18</v>
      </c>
      <c r="C44" s="1" t="s">
        <v>17</v>
      </c>
      <c r="D44" s="83">
        <f>ведомств!J669</f>
        <v>12249183</v>
      </c>
      <c r="E44" s="83">
        <f>ведомств!K669</f>
        <v>7198522.4499999993</v>
      </c>
      <c r="F44" s="83">
        <f>ведомств!L669</f>
        <v>7412302.0999999996</v>
      </c>
      <c r="G44" s="83">
        <f>ведомств!M669</f>
        <v>0</v>
      </c>
      <c r="H44" s="83">
        <f>ведомств!N669</f>
        <v>0</v>
      </c>
      <c r="I44" s="83">
        <f>ведомств!O669</f>
        <v>0</v>
      </c>
      <c r="J44" s="83">
        <f>ведомств!P669+ведомств!P401</f>
        <v>12249183</v>
      </c>
      <c r="K44" s="83">
        <f>ведомств!Q669+ведомств!Q401</f>
        <v>7198522.4499999993</v>
      </c>
      <c r="L44" s="83">
        <f>ведомств!R669+ведомств!R401</f>
        <v>7412302.0999999996</v>
      </c>
      <c r="M44" s="83">
        <f>ведомств!S669+ведомств!S401</f>
        <v>-1144577.6400000001</v>
      </c>
      <c r="N44" s="83">
        <f>ведомств!T669+ведомств!T401</f>
        <v>0</v>
      </c>
      <c r="O44" s="83">
        <f>ведомств!U669+ведомств!U401</f>
        <v>0</v>
      </c>
      <c r="P44" s="83">
        <f>ведомств!V669+ведомств!V401</f>
        <v>11104605.359999999</v>
      </c>
      <c r="Q44" s="83">
        <f>ведомств!W669+ведомств!W401</f>
        <v>7198522.4499999993</v>
      </c>
      <c r="R44" s="83">
        <f>ведомств!X669+ведомств!X401</f>
        <v>7412302.0999999996</v>
      </c>
    </row>
    <row r="45" spans="1:18">
      <c r="A45" s="56" t="s">
        <v>68</v>
      </c>
      <c r="B45" s="1" t="s">
        <v>18</v>
      </c>
      <c r="C45" s="1" t="s">
        <v>13</v>
      </c>
      <c r="D45" s="83">
        <f>ведомств!J697</f>
        <v>25777502</v>
      </c>
      <c r="E45" s="83">
        <f>ведомств!K697</f>
        <v>18626702.130000003</v>
      </c>
      <c r="F45" s="83">
        <f>ведомств!L697</f>
        <v>18339840.830000002</v>
      </c>
      <c r="G45" s="83">
        <f>ведомств!M697</f>
        <v>3945037.67</v>
      </c>
      <c r="H45" s="83">
        <f>ведомств!N697</f>
        <v>2228470.13</v>
      </c>
      <c r="I45" s="83">
        <f>ведомств!O697</f>
        <v>0</v>
      </c>
      <c r="J45" s="83">
        <f>ведомств!P697</f>
        <v>29722539.670000002</v>
      </c>
      <c r="K45" s="83">
        <f>ведомств!Q697</f>
        <v>20855172.260000002</v>
      </c>
      <c r="L45" s="83">
        <f>ведомств!R697</f>
        <v>18339840.830000002</v>
      </c>
      <c r="M45" s="83">
        <f>ведомств!S697</f>
        <v>1320428.9500000002</v>
      </c>
      <c r="N45" s="83">
        <f>ведомств!T697</f>
        <v>0</v>
      </c>
      <c r="O45" s="83">
        <f>ведомств!U697</f>
        <v>0</v>
      </c>
      <c r="P45" s="83">
        <f>ведомств!V697</f>
        <v>31042968.620000001</v>
      </c>
      <c r="Q45" s="83">
        <f>ведомств!W697</f>
        <v>20855172.260000002</v>
      </c>
      <c r="R45" s="83">
        <f>ведомств!X697</f>
        <v>18339840.830000002</v>
      </c>
    </row>
    <row r="46" spans="1:18">
      <c r="A46" s="113" t="s">
        <v>239</v>
      </c>
      <c r="B46" s="1" t="s">
        <v>18</v>
      </c>
      <c r="C46" s="1" t="s">
        <v>18</v>
      </c>
      <c r="D46" s="83">
        <f>ведомств!J733</f>
        <v>0</v>
      </c>
      <c r="E46" s="83">
        <f>ведомств!K733</f>
        <v>0</v>
      </c>
      <c r="F46" s="83">
        <f>ведомств!L733</f>
        <v>0</v>
      </c>
      <c r="G46" s="83">
        <f>ведомств!M733</f>
        <v>0</v>
      </c>
      <c r="H46" s="83">
        <f>ведомств!N733</f>
        <v>0</v>
      </c>
      <c r="I46" s="83">
        <f>ведомств!O733</f>
        <v>0</v>
      </c>
      <c r="J46" s="83">
        <f>ведомств!P733</f>
        <v>0</v>
      </c>
      <c r="K46" s="83">
        <f>ведомств!Q733</f>
        <v>0</v>
      </c>
      <c r="L46" s="83">
        <f>ведомств!R733</f>
        <v>0</v>
      </c>
      <c r="M46" s="83">
        <f>ведомств!S733</f>
        <v>1200000</v>
      </c>
      <c r="N46" s="83">
        <f>ведомств!T733</f>
        <v>0</v>
      </c>
      <c r="O46" s="83">
        <f>ведомств!U733</f>
        <v>0</v>
      </c>
      <c r="P46" s="83">
        <f>ведомств!V733</f>
        <v>1200000</v>
      </c>
      <c r="Q46" s="83">
        <f>ведомств!W733</f>
        <v>0</v>
      </c>
      <c r="R46" s="83">
        <f>ведомств!X733</f>
        <v>0</v>
      </c>
    </row>
    <row r="47" spans="1:18">
      <c r="A47" s="56"/>
      <c r="B47" s="1"/>
      <c r="C47" s="1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</row>
    <row r="48" spans="1:18" ht="12" customHeight="1">
      <c r="A48" s="4" t="s">
        <v>65</v>
      </c>
      <c r="B48" s="14" t="s">
        <v>3</v>
      </c>
      <c r="C48" s="1"/>
      <c r="D48" s="87">
        <f>D49+D50</f>
        <v>10869000</v>
      </c>
      <c r="E48" s="87">
        <f t="shared" ref="E48:F48" si="27">E49+E50</f>
        <v>10869000</v>
      </c>
      <c r="F48" s="87">
        <f t="shared" si="27"/>
        <v>10869000</v>
      </c>
      <c r="G48" s="87">
        <f t="shared" ref="G48:I48" si="28">G49+G50</f>
        <v>2133743.17</v>
      </c>
      <c r="H48" s="87">
        <f t="shared" si="28"/>
        <v>0</v>
      </c>
      <c r="I48" s="87">
        <f t="shared" si="28"/>
        <v>0</v>
      </c>
      <c r="J48" s="87">
        <f t="shared" si="3"/>
        <v>13002743.17</v>
      </c>
      <c r="K48" s="87">
        <f t="shared" si="4"/>
        <v>10869000</v>
      </c>
      <c r="L48" s="87">
        <f t="shared" si="5"/>
        <v>10869000</v>
      </c>
      <c r="M48" s="87">
        <f t="shared" ref="M48:O48" si="29">M49+M50</f>
        <v>0</v>
      </c>
      <c r="N48" s="87">
        <f t="shared" si="29"/>
        <v>0</v>
      </c>
      <c r="O48" s="87">
        <f t="shared" si="29"/>
        <v>0</v>
      </c>
      <c r="P48" s="87">
        <f t="shared" ref="P48:P49" si="30">J48+M48</f>
        <v>13002743.17</v>
      </c>
      <c r="Q48" s="87">
        <f t="shared" ref="Q48:Q49" si="31">K48+N48</f>
        <v>10869000</v>
      </c>
      <c r="R48" s="87">
        <f t="shared" ref="R48:R49" si="32">L48+O48</f>
        <v>10869000</v>
      </c>
    </row>
    <row r="49" spans="1:18" ht="12" hidden="1" customHeight="1">
      <c r="A49" s="2" t="s">
        <v>66</v>
      </c>
      <c r="B49" s="1" t="s">
        <v>3</v>
      </c>
      <c r="C49" s="1" t="s">
        <v>13</v>
      </c>
      <c r="D49" s="83"/>
      <c r="E49" s="83"/>
      <c r="F49" s="83"/>
      <c r="G49" s="83"/>
      <c r="H49" s="83"/>
      <c r="I49" s="83"/>
      <c r="J49" s="83">
        <f t="shared" si="3"/>
        <v>0</v>
      </c>
      <c r="K49" s="83">
        <f t="shared" si="4"/>
        <v>0</v>
      </c>
      <c r="L49" s="83">
        <f t="shared" si="5"/>
        <v>0</v>
      </c>
      <c r="M49" s="83"/>
      <c r="N49" s="83"/>
      <c r="O49" s="83"/>
      <c r="P49" s="83">
        <f t="shared" si="30"/>
        <v>0</v>
      </c>
      <c r="Q49" s="83">
        <f t="shared" si="31"/>
        <v>0</v>
      </c>
      <c r="R49" s="83">
        <f t="shared" si="32"/>
        <v>0</v>
      </c>
    </row>
    <row r="50" spans="1:18">
      <c r="A50" s="2" t="s">
        <v>217</v>
      </c>
      <c r="B50" s="1" t="s">
        <v>3</v>
      </c>
      <c r="C50" s="1" t="s">
        <v>18</v>
      </c>
      <c r="D50" s="83">
        <f>ведомств!J740</f>
        <v>10869000</v>
      </c>
      <c r="E50" s="83">
        <f>ведомств!K740</f>
        <v>10869000</v>
      </c>
      <c r="F50" s="83">
        <f>ведомств!L740</f>
        <v>10869000</v>
      </c>
      <c r="G50" s="83">
        <f>ведомств!M740</f>
        <v>2133743.17</v>
      </c>
      <c r="H50" s="83">
        <f>ведомств!N740</f>
        <v>0</v>
      </c>
      <c r="I50" s="83">
        <f>ведомств!O740</f>
        <v>0</v>
      </c>
      <c r="J50" s="83">
        <f>ведомств!P740</f>
        <v>13002743.17</v>
      </c>
      <c r="K50" s="83">
        <f>ведомств!Q740</f>
        <v>10869000</v>
      </c>
      <c r="L50" s="83">
        <f>ведомств!R740</f>
        <v>10869000</v>
      </c>
      <c r="M50" s="83">
        <f>ведомств!S740</f>
        <v>0</v>
      </c>
      <c r="N50" s="83">
        <f>ведомств!T740</f>
        <v>0</v>
      </c>
      <c r="O50" s="83">
        <f>ведомств!U740</f>
        <v>0</v>
      </c>
      <c r="P50" s="83">
        <f>ведомств!V740</f>
        <v>13002743.17</v>
      </c>
      <c r="Q50" s="83">
        <f>ведомств!W740</f>
        <v>10869000</v>
      </c>
      <c r="R50" s="83">
        <f>ведомств!X740</f>
        <v>10869000</v>
      </c>
    </row>
    <row r="51" spans="1:18">
      <c r="A51" s="56"/>
      <c r="B51" s="1"/>
      <c r="C51" s="1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</row>
    <row r="52" spans="1:18">
      <c r="A52" s="4" t="s">
        <v>24</v>
      </c>
      <c r="B52" s="15" t="s">
        <v>2</v>
      </c>
      <c r="C52" s="1"/>
      <c r="D52" s="87">
        <f>SUM(D53:D57)</f>
        <v>468759943.85000002</v>
      </c>
      <c r="E52" s="87">
        <f t="shared" ref="E52:F52" si="33">SUM(E53:E57)</f>
        <v>456753777.13999999</v>
      </c>
      <c r="F52" s="87">
        <f t="shared" si="33"/>
        <v>464026725.60000002</v>
      </c>
      <c r="G52" s="87">
        <f t="shared" ref="G52:I52" si="34">SUM(G53:G57)</f>
        <v>44958049.219999999</v>
      </c>
      <c r="H52" s="87">
        <f t="shared" si="34"/>
        <v>-1221415.03</v>
      </c>
      <c r="I52" s="87">
        <f t="shared" si="34"/>
        <v>-1080309.6800000002</v>
      </c>
      <c r="J52" s="87">
        <f t="shared" si="3"/>
        <v>513717993.07000005</v>
      </c>
      <c r="K52" s="87">
        <f t="shared" si="4"/>
        <v>455532362.11000001</v>
      </c>
      <c r="L52" s="87">
        <f t="shared" si="5"/>
        <v>462946415.92000002</v>
      </c>
      <c r="M52" s="87">
        <f t="shared" ref="M52:O52" si="35">SUM(M53:M57)</f>
        <v>14108453.92</v>
      </c>
      <c r="N52" s="87">
        <f t="shared" si="35"/>
        <v>0</v>
      </c>
      <c r="O52" s="87">
        <f t="shared" si="35"/>
        <v>0</v>
      </c>
      <c r="P52" s="87">
        <f t="shared" ref="P52:P57" si="36">J52+M52</f>
        <v>527826446.99000007</v>
      </c>
      <c r="Q52" s="87">
        <f t="shared" ref="Q52:Q57" si="37">K52+N52</f>
        <v>455532362.11000001</v>
      </c>
      <c r="R52" s="87">
        <f t="shared" ref="R52:R57" si="38">L52+O52</f>
        <v>462946415.92000002</v>
      </c>
    </row>
    <row r="53" spans="1:18">
      <c r="A53" s="58" t="s">
        <v>8</v>
      </c>
      <c r="B53" s="59" t="s">
        <v>2</v>
      </c>
      <c r="C53" s="59" t="s">
        <v>20</v>
      </c>
      <c r="D53" s="83">
        <f>ведомств!J181</f>
        <v>92670235</v>
      </c>
      <c r="E53" s="83">
        <f>ведомств!K181</f>
        <v>91030997.620000005</v>
      </c>
      <c r="F53" s="83">
        <f>ведомств!L181</f>
        <v>90712509.200000003</v>
      </c>
      <c r="G53" s="83">
        <f>ведомств!M181</f>
        <v>-500000</v>
      </c>
      <c r="H53" s="83">
        <f>ведомств!N181</f>
        <v>-424386.66</v>
      </c>
      <c r="I53" s="83">
        <f>ведомств!O181</f>
        <v>-401680</v>
      </c>
      <c r="J53" s="83">
        <f t="shared" si="3"/>
        <v>92170235</v>
      </c>
      <c r="K53" s="83">
        <f t="shared" si="4"/>
        <v>90606610.960000008</v>
      </c>
      <c r="L53" s="83">
        <f t="shared" si="5"/>
        <v>90310829.200000003</v>
      </c>
      <c r="M53" s="83">
        <f>ведомств!S181</f>
        <v>500000</v>
      </c>
      <c r="N53" s="83">
        <f>ведомств!T181</f>
        <v>0</v>
      </c>
      <c r="O53" s="83">
        <f>ведомств!U181</f>
        <v>0</v>
      </c>
      <c r="P53" s="83">
        <f t="shared" si="36"/>
        <v>92670235</v>
      </c>
      <c r="Q53" s="83">
        <f t="shared" si="37"/>
        <v>90606610.960000008</v>
      </c>
      <c r="R53" s="83">
        <f t="shared" si="38"/>
        <v>90310829.200000003</v>
      </c>
    </row>
    <row r="54" spans="1:18">
      <c r="A54" s="2" t="s">
        <v>25</v>
      </c>
      <c r="B54" s="1" t="s">
        <v>2</v>
      </c>
      <c r="C54" s="1" t="s">
        <v>17</v>
      </c>
      <c r="D54" s="83">
        <f>ведомств!J200+ведомств!J753</f>
        <v>309079104.48000002</v>
      </c>
      <c r="E54" s="83">
        <f>ведомств!K200+ведомств!K753</f>
        <v>303362208.33000004</v>
      </c>
      <c r="F54" s="83">
        <f>ведомств!L200+ведомств!L753</f>
        <v>310417017.47000003</v>
      </c>
      <c r="G54" s="83">
        <f>ведомств!M200+ведомств!M753</f>
        <v>45458049.219999999</v>
      </c>
      <c r="H54" s="83">
        <f>ведомств!N200+ведомств!N753</f>
        <v>-797028.37</v>
      </c>
      <c r="I54" s="83">
        <f>ведомств!O200+ведомств!O753</f>
        <v>-678629.68</v>
      </c>
      <c r="J54" s="83">
        <f>ведомств!P200+ведомств!P753</f>
        <v>354537153.70000005</v>
      </c>
      <c r="K54" s="83">
        <f>ведомств!Q200+ведомств!Q753</f>
        <v>302565179.96000004</v>
      </c>
      <c r="L54" s="83">
        <f>ведомств!R200+ведомств!R753</f>
        <v>309738387.79000002</v>
      </c>
      <c r="M54" s="83">
        <f>ведомств!S200+ведомств!S753</f>
        <v>13458293.92</v>
      </c>
      <c r="N54" s="83">
        <f>ведомств!T200+ведомств!T753</f>
        <v>0</v>
      </c>
      <c r="O54" s="83">
        <f>ведомств!U200+ведомств!U753</f>
        <v>0</v>
      </c>
      <c r="P54" s="83">
        <f>ведомств!V200+ведомств!V753</f>
        <v>367995447.62</v>
      </c>
      <c r="Q54" s="83">
        <f>ведомств!W200+ведомств!W753</f>
        <v>302565179.96000004</v>
      </c>
      <c r="R54" s="83">
        <f>ведомств!X200+ведомств!X753</f>
        <v>309738387.79000002</v>
      </c>
    </row>
    <row r="55" spans="1:18">
      <c r="A55" s="2" t="s">
        <v>203</v>
      </c>
      <c r="B55" s="1" t="s">
        <v>2</v>
      </c>
      <c r="C55" s="1" t="s">
        <v>13</v>
      </c>
      <c r="D55" s="83">
        <f>ведомств!J41+ведомств!J236</f>
        <v>43262115</v>
      </c>
      <c r="E55" s="83">
        <f>ведомств!K41+ведомств!K236</f>
        <v>38410124.530000001</v>
      </c>
      <c r="F55" s="83">
        <f>ведомств!L41+ведомств!L236</f>
        <v>38652454.950000003</v>
      </c>
      <c r="G55" s="83">
        <f>ведомств!M41+ведомств!M236</f>
        <v>0</v>
      </c>
      <c r="H55" s="83">
        <f>ведомств!N41+ведомств!N236</f>
        <v>0</v>
      </c>
      <c r="I55" s="83">
        <f>ведомств!O41+ведомств!O236</f>
        <v>0</v>
      </c>
      <c r="J55" s="83">
        <f t="shared" si="3"/>
        <v>43262115</v>
      </c>
      <c r="K55" s="83">
        <f t="shared" si="4"/>
        <v>38410124.530000001</v>
      </c>
      <c r="L55" s="83">
        <f t="shared" si="5"/>
        <v>38652454.950000003</v>
      </c>
      <c r="M55" s="83">
        <f>ведомств!S41+ведомств!S236</f>
        <v>20160</v>
      </c>
      <c r="N55" s="83">
        <f>ведомств!T41+ведомств!T236</f>
        <v>0</v>
      </c>
      <c r="O55" s="83">
        <f>ведомств!U41+ведомств!U236</f>
        <v>0</v>
      </c>
      <c r="P55" s="83">
        <f t="shared" si="36"/>
        <v>43282275</v>
      </c>
      <c r="Q55" s="83">
        <f t="shared" si="37"/>
        <v>38410124.530000001</v>
      </c>
      <c r="R55" s="83">
        <f t="shared" si="38"/>
        <v>38652454.950000003</v>
      </c>
    </row>
    <row r="56" spans="1:18">
      <c r="A56" s="2" t="s">
        <v>200</v>
      </c>
      <c r="B56" s="1" t="s">
        <v>2</v>
      </c>
      <c r="C56" s="1" t="s">
        <v>2</v>
      </c>
      <c r="D56" s="83">
        <f>ведомств!J60+ведомств!J270</f>
        <v>5294590.37</v>
      </c>
      <c r="E56" s="83">
        <f>ведомств!K60+ведомств!K270</f>
        <v>5320948.13</v>
      </c>
      <c r="F56" s="83">
        <f>ведомств!L60+ведомств!L270</f>
        <v>5537890.4699999997</v>
      </c>
      <c r="G56" s="83">
        <f>ведомств!M60+ведомств!M270</f>
        <v>0</v>
      </c>
      <c r="H56" s="83">
        <f>ведомств!N60+ведомств!N270</f>
        <v>0</v>
      </c>
      <c r="I56" s="83">
        <f>ведомств!O60+ведомств!O270</f>
        <v>0</v>
      </c>
      <c r="J56" s="83">
        <f t="shared" si="3"/>
        <v>5294590.37</v>
      </c>
      <c r="K56" s="83">
        <f t="shared" si="4"/>
        <v>5320948.13</v>
      </c>
      <c r="L56" s="83">
        <f t="shared" si="5"/>
        <v>5537890.4699999997</v>
      </c>
      <c r="M56" s="83">
        <f>ведомств!S60+ведомств!S270</f>
        <v>70000</v>
      </c>
      <c r="N56" s="83">
        <f>ведомств!T60+ведомств!T270</f>
        <v>0</v>
      </c>
      <c r="O56" s="83">
        <f>ведомств!U60+ведомств!U270</f>
        <v>0</v>
      </c>
      <c r="P56" s="83">
        <f t="shared" si="36"/>
        <v>5364590.37</v>
      </c>
      <c r="Q56" s="83">
        <f t="shared" si="37"/>
        <v>5320948.13</v>
      </c>
      <c r="R56" s="83">
        <f t="shared" si="38"/>
        <v>5537890.4699999997</v>
      </c>
    </row>
    <row r="57" spans="1:18">
      <c r="A57" s="2" t="s">
        <v>35</v>
      </c>
      <c r="B57" s="1" t="s">
        <v>2</v>
      </c>
      <c r="C57" s="1" t="s">
        <v>14</v>
      </c>
      <c r="D57" s="83">
        <f>ведомств!J292</f>
        <v>18453899</v>
      </c>
      <c r="E57" s="83">
        <f>ведомств!K292</f>
        <v>18629498.530000001</v>
      </c>
      <c r="F57" s="83">
        <f>ведомств!L292</f>
        <v>18706853.510000002</v>
      </c>
      <c r="G57" s="83">
        <f>ведомств!M292</f>
        <v>0</v>
      </c>
      <c r="H57" s="83">
        <f>ведомств!N292</f>
        <v>0</v>
      </c>
      <c r="I57" s="83">
        <f>ведомств!O292</f>
        <v>0</v>
      </c>
      <c r="J57" s="83">
        <f t="shared" si="3"/>
        <v>18453899</v>
      </c>
      <c r="K57" s="83">
        <f t="shared" si="4"/>
        <v>18629498.530000001</v>
      </c>
      <c r="L57" s="83">
        <f t="shared" si="5"/>
        <v>18706853.510000002</v>
      </c>
      <c r="M57" s="83">
        <f>ведомств!S292</f>
        <v>60000</v>
      </c>
      <c r="N57" s="83">
        <f>ведомств!T292</f>
        <v>0</v>
      </c>
      <c r="O57" s="83">
        <f>ведомств!U292</f>
        <v>0</v>
      </c>
      <c r="P57" s="83">
        <f t="shared" si="36"/>
        <v>18513899</v>
      </c>
      <c r="Q57" s="83">
        <f t="shared" si="37"/>
        <v>18629498.530000001</v>
      </c>
      <c r="R57" s="83">
        <f t="shared" si="38"/>
        <v>18706853.510000002</v>
      </c>
    </row>
    <row r="58" spans="1:18" ht="13.5" customHeight="1">
      <c r="A58" s="56"/>
      <c r="B58" s="37"/>
      <c r="C58" s="37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</row>
    <row r="59" spans="1:18">
      <c r="A59" s="4" t="s">
        <v>201</v>
      </c>
      <c r="B59" s="15" t="s">
        <v>27</v>
      </c>
      <c r="C59" s="1"/>
      <c r="D59" s="87">
        <f>SUM(D60:D61)</f>
        <v>114655072.81</v>
      </c>
      <c r="E59" s="87">
        <f t="shared" ref="E59:F59" si="39">SUM(E60:E61)</f>
        <v>115006207.56999999</v>
      </c>
      <c r="F59" s="87">
        <f t="shared" si="39"/>
        <v>115030621.29999998</v>
      </c>
      <c r="G59" s="87">
        <f t="shared" ref="G59:I59" si="40">SUM(G60:G61)</f>
        <v>5157872.1500000004</v>
      </c>
      <c r="H59" s="87">
        <f t="shared" si="40"/>
        <v>-32430.240000000002</v>
      </c>
      <c r="I59" s="87">
        <f t="shared" si="40"/>
        <v>262382.61</v>
      </c>
      <c r="J59" s="87">
        <f t="shared" si="3"/>
        <v>119812944.96000001</v>
      </c>
      <c r="K59" s="87">
        <f t="shared" si="4"/>
        <v>114973777.33</v>
      </c>
      <c r="L59" s="87">
        <f t="shared" si="5"/>
        <v>115293003.90999998</v>
      </c>
      <c r="M59" s="87">
        <f t="shared" ref="M59:O59" si="41">SUM(M60:M61)</f>
        <v>27573410.98</v>
      </c>
      <c r="N59" s="87">
        <f t="shared" si="41"/>
        <v>0</v>
      </c>
      <c r="O59" s="87">
        <f t="shared" si="41"/>
        <v>0</v>
      </c>
      <c r="P59" s="87">
        <f t="shared" ref="P59:P61" si="42">J59+M59</f>
        <v>147386355.94</v>
      </c>
      <c r="Q59" s="87">
        <f t="shared" ref="Q59:Q61" si="43">K59+N59</f>
        <v>114973777.33</v>
      </c>
      <c r="R59" s="87">
        <f t="shared" ref="R59:R61" si="44">L59+O59</f>
        <v>115293003.90999998</v>
      </c>
    </row>
    <row r="60" spans="1:18">
      <c r="A60" s="2" t="s">
        <v>28</v>
      </c>
      <c r="B60" s="1" t="s">
        <v>27</v>
      </c>
      <c r="C60" s="1" t="s">
        <v>20</v>
      </c>
      <c r="D60" s="83">
        <f>ведомств!J67</f>
        <v>101055368.81</v>
      </c>
      <c r="E60" s="83">
        <f>ведомств!K67</f>
        <v>101274216.44</v>
      </c>
      <c r="F60" s="83">
        <f>ведомств!L67</f>
        <v>101235020.25999999</v>
      </c>
      <c r="G60" s="83">
        <f>ведомств!M67</f>
        <v>5157872.1500000004</v>
      </c>
      <c r="H60" s="83">
        <f>ведомств!N67</f>
        <v>-32430.240000000002</v>
      </c>
      <c r="I60" s="83">
        <f>ведомств!O67</f>
        <v>262382.61</v>
      </c>
      <c r="J60" s="83">
        <f t="shared" si="3"/>
        <v>106213240.96000001</v>
      </c>
      <c r="K60" s="83">
        <f t="shared" si="4"/>
        <v>101241786.2</v>
      </c>
      <c r="L60" s="83">
        <f t="shared" si="5"/>
        <v>101497402.86999999</v>
      </c>
      <c r="M60" s="83">
        <f>ведомств!S67</f>
        <v>27573410.98</v>
      </c>
      <c r="N60" s="83">
        <f>ведомств!T67</f>
        <v>0</v>
      </c>
      <c r="O60" s="83">
        <f>ведомств!U67</f>
        <v>0</v>
      </c>
      <c r="P60" s="83">
        <f t="shared" si="42"/>
        <v>133786651.94000001</v>
      </c>
      <c r="Q60" s="83">
        <f t="shared" si="43"/>
        <v>101241786.2</v>
      </c>
      <c r="R60" s="83">
        <f t="shared" si="44"/>
        <v>101497402.86999999</v>
      </c>
    </row>
    <row r="61" spans="1:18">
      <c r="A61" s="2" t="s">
        <v>202</v>
      </c>
      <c r="B61" s="1" t="s">
        <v>27</v>
      </c>
      <c r="C61" s="1" t="s">
        <v>16</v>
      </c>
      <c r="D61" s="83">
        <f>ведомств!J142</f>
        <v>13599704</v>
      </c>
      <c r="E61" s="83">
        <f>ведомств!K142</f>
        <v>13731991.130000001</v>
      </c>
      <c r="F61" s="83">
        <f>ведомств!L142</f>
        <v>13795601.039999999</v>
      </c>
      <c r="G61" s="83">
        <f>ведомств!M142</f>
        <v>0</v>
      </c>
      <c r="H61" s="83">
        <f>ведомств!N142</f>
        <v>0</v>
      </c>
      <c r="I61" s="83">
        <f>ведомств!O142</f>
        <v>0</v>
      </c>
      <c r="J61" s="83">
        <f t="shared" si="3"/>
        <v>13599704</v>
      </c>
      <c r="K61" s="83">
        <f t="shared" si="4"/>
        <v>13731991.130000001</v>
      </c>
      <c r="L61" s="83">
        <f t="shared" si="5"/>
        <v>13795601.039999999</v>
      </c>
      <c r="M61" s="83">
        <f>ведомств!S142</f>
        <v>0</v>
      </c>
      <c r="N61" s="83">
        <f>ведомств!T142</f>
        <v>0</v>
      </c>
      <c r="O61" s="83">
        <f>ведомств!U142</f>
        <v>0</v>
      </c>
      <c r="P61" s="83">
        <f t="shared" si="42"/>
        <v>13599704</v>
      </c>
      <c r="Q61" s="83">
        <f t="shared" si="43"/>
        <v>13731991.130000001</v>
      </c>
      <c r="R61" s="83">
        <f t="shared" si="44"/>
        <v>13795601.039999999</v>
      </c>
    </row>
    <row r="62" spans="1:18">
      <c r="A62" s="56"/>
      <c r="B62" s="37"/>
      <c r="C62" s="37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</row>
    <row r="63" spans="1:18">
      <c r="A63" s="18" t="s">
        <v>128</v>
      </c>
      <c r="B63" s="14" t="s">
        <v>14</v>
      </c>
      <c r="C63" s="37"/>
      <c r="D63" s="87">
        <f>D64</f>
        <v>672500</v>
      </c>
      <c r="E63" s="87">
        <f t="shared" ref="E63:I63" si="45">E64</f>
        <v>172500</v>
      </c>
      <c r="F63" s="87">
        <f t="shared" si="45"/>
        <v>57500</v>
      </c>
      <c r="G63" s="87">
        <f t="shared" si="45"/>
        <v>0</v>
      </c>
      <c r="H63" s="87">
        <f t="shared" si="45"/>
        <v>0</v>
      </c>
      <c r="I63" s="87">
        <f t="shared" si="45"/>
        <v>0</v>
      </c>
      <c r="J63" s="87">
        <f t="shared" si="3"/>
        <v>672500</v>
      </c>
      <c r="K63" s="87">
        <f t="shared" si="4"/>
        <v>172500</v>
      </c>
      <c r="L63" s="87">
        <f t="shared" si="5"/>
        <v>57500</v>
      </c>
      <c r="M63" s="87">
        <f t="shared" ref="M63:O63" si="46">M64</f>
        <v>0</v>
      </c>
      <c r="N63" s="87">
        <f t="shared" si="46"/>
        <v>0</v>
      </c>
      <c r="O63" s="87">
        <f t="shared" si="46"/>
        <v>0</v>
      </c>
      <c r="P63" s="87">
        <f t="shared" ref="P63" si="47">J63+M63</f>
        <v>672500</v>
      </c>
      <c r="Q63" s="87">
        <f t="shared" ref="Q63" si="48">K63+N63</f>
        <v>172500</v>
      </c>
      <c r="R63" s="87">
        <f t="shared" ref="R63" si="49">L63+O63</f>
        <v>57500</v>
      </c>
    </row>
    <row r="64" spans="1:18" ht="15" customHeight="1">
      <c r="A64" s="2" t="s">
        <v>129</v>
      </c>
      <c r="B64" s="59" t="s">
        <v>14</v>
      </c>
      <c r="C64" s="59" t="s">
        <v>14</v>
      </c>
      <c r="D64" s="83">
        <f>ведомств!J764</f>
        <v>672500</v>
      </c>
      <c r="E64" s="83">
        <f>ведомств!K764</f>
        <v>172500</v>
      </c>
      <c r="F64" s="83">
        <f>ведомств!L764</f>
        <v>57500</v>
      </c>
      <c r="G64" s="83">
        <f>ведомств!M764</f>
        <v>0</v>
      </c>
      <c r="H64" s="83">
        <f>ведомств!N764</f>
        <v>0</v>
      </c>
      <c r="I64" s="83">
        <f>ведомств!O764</f>
        <v>0</v>
      </c>
      <c r="J64" s="83">
        <f>ведомств!P764</f>
        <v>672500</v>
      </c>
      <c r="K64" s="83">
        <f>ведомств!Q764</f>
        <v>172500</v>
      </c>
      <c r="L64" s="83">
        <f>ведомств!R764</f>
        <v>57500</v>
      </c>
      <c r="M64" s="83">
        <f>ведомств!S764</f>
        <v>0</v>
      </c>
      <c r="N64" s="83">
        <f>ведомств!T764</f>
        <v>0</v>
      </c>
      <c r="O64" s="83">
        <f>ведомств!U764</f>
        <v>0</v>
      </c>
      <c r="P64" s="83">
        <f>ведомств!V764</f>
        <v>672500</v>
      </c>
      <c r="Q64" s="83">
        <f>ведомств!W764</f>
        <v>172500</v>
      </c>
      <c r="R64" s="83">
        <f>ведомств!X764</f>
        <v>57500</v>
      </c>
    </row>
    <row r="65" spans="1:18">
      <c r="A65" s="56"/>
      <c r="B65" s="59"/>
      <c r="C65" s="37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</row>
    <row r="66" spans="1:18">
      <c r="A66" s="4" t="s">
        <v>5</v>
      </c>
      <c r="B66" s="15" t="s">
        <v>30</v>
      </c>
      <c r="C66" s="1"/>
      <c r="D66" s="87">
        <f>SUM(D67:D70)</f>
        <v>28545662.41</v>
      </c>
      <c r="E66" s="87">
        <f t="shared" ref="E66:F66" si="50">SUM(E67:E70)</f>
        <v>15089804.539999999</v>
      </c>
      <c r="F66" s="87">
        <f t="shared" si="50"/>
        <v>15370169.6</v>
      </c>
      <c r="G66" s="87">
        <f t="shared" ref="G66:I66" si="51">SUM(G67:G70)</f>
        <v>1100915.7600000002</v>
      </c>
      <c r="H66" s="87">
        <f t="shared" si="51"/>
        <v>-89112.14</v>
      </c>
      <c r="I66" s="87">
        <f t="shared" si="51"/>
        <v>-370390.75</v>
      </c>
      <c r="J66" s="87">
        <f t="shared" si="3"/>
        <v>29646578.170000002</v>
      </c>
      <c r="K66" s="87">
        <f t="shared" si="4"/>
        <v>15000692.399999999</v>
      </c>
      <c r="L66" s="87">
        <f t="shared" si="5"/>
        <v>14999778.85</v>
      </c>
      <c r="M66" s="87">
        <f t="shared" ref="M66:O66" si="52">SUM(M67:M70)</f>
        <v>693052.22</v>
      </c>
      <c r="N66" s="87">
        <f t="shared" si="52"/>
        <v>293866.65999999997</v>
      </c>
      <c r="O66" s="87">
        <f t="shared" si="52"/>
        <v>278194.39</v>
      </c>
      <c r="P66" s="87">
        <f t="shared" ref="P66:P70" si="53">J66+M66</f>
        <v>30339630.390000001</v>
      </c>
      <c r="Q66" s="87">
        <f t="shared" ref="Q66:Q70" si="54">K66+N66</f>
        <v>15294559.059999999</v>
      </c>
      <c r="R66" s="87">
        <f t="shared" ref="R66:R70" si="55">L66+O66</f>
        <v>15277973.24</v>
      </c>
    </row>
    <row r="67" spans="1:18">
      <c r="A67" s="2" t="s">
        <v>6</v>
      </c>
      <c r="B67" s="1" t="s">
        <v>30</v>
      </c>
      <c r="C67" s="1" t="s">
        <v>20</v>
      </c>
      <c r="D67" s="83">
        <f>ведомств!J776</f>
        <v>4277700</v>
      </c>
      <c r="E67" s="83">
        <f>ведомств!K776</f>
        <v>4277700</v>
      </c>
      <c r="F67" s="83">
        <f>ведомств!L776</f>
        <v>4277700</v>
      </c>
      <c r="G67" s="83">
        <f>ведомств!M776</f>
        <v>0</v>
      </c>
      <c r="H67" s="83">
        <f>ведомств!N776</f>
        <v>0</v>
      </c>
      <c r="I67" s="83">
        <f>ведомств!O776</f>
        <v>0</v>
      </c>
      <c r="J67" s="83">
        <f>ведомств!P776</f>
        <v>4277700</v>
      </c>
      <c r="K67" s="83">
        <f>ведомств!Q776</f>
        <v>4277700</v>
      </c>
      <c r="L67" s="83">
        <f>ведомств!R776</f>
        <v>4277700</v>
      </c>
      <c r="M67" s="83">
        <f>ведомств!S776</f>
        <v>0</v>
      </c>
      <c r="N67" s="83">
        <f>ведомств!T776</f>
        <v>0</v>
      </c>
      <c r="O67" s="83">
        <f>ведомств!U776</f>
        <v>0</v>
      </c>
      <c r="P67" s="83">
        <f>ведомств!V776</f>
        <v>4277700</v>
      </c>
      <c r="Q67" s="83">
        <f>ведомств!W776</f>
        <v>4277700</v>
      </c>
      <c r="R67" s="83">
        <f>ведомств!X776</f>
        <v>4277700</v>
      </c>
    </row>
    <row r="68" spans="1:18">
      <c r="A68" s="2" t="s">
        <v>7</v>
      </c>
      <c r="B68" s="1" t="s">
        <v>30</v>
      </c>
      <c r="C68" s="1" t="s">
        <v>13</v>
      </c>
      <c r="D68" s="83">
        <f>ведомств!J784</f>
        <v>13927680</v>
      </c>
      <c r="E68" s="83">
        <f>ведомств!K784</f>
        <v>468000</v>
      </c>
      <c r="F68" s="83">
        <f>ведомств!L784</f>
        <v>468000</v>
      </c>
      <c r="G68" s="83">
        <f>ведомств!M784</f>
        <v>986897.66</v>
      </c>
      <c r="H68" s="83">
        <f>ведомств!N784</f>
        <v>0</v>
      </c>
      <c r="I68" s="83">
        <f>ведомств!O784</f>
        <v>0</v>
      </c>
      <c r="J68" s="83">
        <f>ведомств!P784</f>
        <v>14914577.66</v>
      </c>
      <c r="K68" s="83">
        <f>ведомств!Q784</f>
        <v>468000</v>
      </c>
      <c r="L68" s="83">
        <f>ведомств!R784</f>
        <v>468000</v>
      </c>
      <c r="M68" s="83">
        <f>ведомств!S784</f>
        <v>60000</v>
      </c>
      <c r="N68" s="83">
        <f>ведомств!T784</f>
        <v>0</v>
      </c>
      <c r="O68" s="83">
        <f>ведомств!U784</f>
        <v>0</v>
      </c>
      <c r="P68" s="83">
        <f>ведомств!V784</f>
        <v>14974577.66</v>
      </c>
      <c r="Q68" s="83">
        <f>ведомств!W784</f>
        <v>468000</v>
      </c>
      <c r="R68" s="83">
        <f>ведомств!X784</f>
        <v>468000</v>
      </c>
    </row>
    <row r="69" spans="1:18">
      <c r="A69" s="7" t="s">
        <v>21</v>
      </c>
      <c r="B69" s="1" t="s">
        <v>30</v>
      </c>
      <c r="C69" s="1" t="s">
        <v>16</v>
      </c>
      <c r="D69" s="83">
        <f>ведомств!J323+ведомств!J816+ведомств!J153</f>
        <v>7543428.5</v>
      </c>
      <c r="E69" s="83">
        <f>ведомств!K323+ведомств!K816+ведомств!K153</f>
        <v>7301349.3300000001</v>
      </c>
      <c r="F69" s="83">
        <f>ведомств!L323+ведомств!L816+ведомств!L153</f>
        <v>7194631.0600000005</v>
      </c>
      <c r="G69" s="83">
        <f>ведомств!M323+ведомств!M816+ведомств!M153</f>
        <v>89010</v>
      </c>
      <c r="H69" s="83">
        <f>ведомств!N323+ведомств!N816+ведомств!N153</f>
        <v>0</v>
      </c>
      <c r="I69" s="83">
        <f>ведомств!O323+ведомств!O816+ведомств!O153</f>
        <v>0</v>
      </c>
      <c r="J69" s="83">
        <f>ведомств!P323+ведомств!P816+ведомств!P153</f>
        <v>7632438.5</v>
      </c>
      <c r="K69" s="83">
        <f>ведомств!Q323+ведомств!Q816+ведомств!Q153</f>
        <v>7301349.3300000001</v>
      </c>
      <c r="L69" s="83">
        <f>ведомств!R323+ведомств!R816+ведомств!R153</f>
        <v>7194631.0600000005</v>
      </c>
      <c r="M69" s="83">
        <f>ведомств!S323+ведомств!S816+ведомств!S153</f>
        <v>633052.22</v>
      </c>
      <c r="N69" s="83">
        <f>ведомств!T323+ведомств!T816+ведомств!T153</f>
        <v>293866.65999999997</v>
      </c>
      <c r="O69" s="83">
        <f>ведомств!U323+ведомств!U816+ведомств!U153</f>
        <v>278194.39</v>
      </c>
      <c r="P69" s="83">
        <f>ведомств!V323+ведомств!V816+ведомств!V153</f>
        <v>8265490.7199999997</v>
      </c>
      <c r="Q69" s="83">
        <f>ведомств!W323+ведомств!W816+ведомств!W153</f>
        <v>7595215.9900000002</v>
      </c>
      <c r="R69" s="83">
        <f>ведомств!X323+ведомств!X816+ведомств!X153</f>
        <v>7472825.4500000002</v>
      </c>
    </row>
    <row r="70" spans="1:18">
      <c r="A70" s="7" t="s">
        <v>59</v>
      </c>
      <c r="B70" s="1" t="s">
        <v>30</v>
      </c>
      <c r="C70" s="1" t="s">
        <v>3</v>
      </c>
      <c r="D70" s="83">
        <f>ведомств!J343</f>
        <v>2796853.9099999997</v>
      </c>
      <c r="E70" s="83">
        <f>ведомств!K343</f>
        <v>3042755.21</v>
      </c>
      <c r="F70" s="83">
        <f>ведомств!L343</f>
        <v>3429838.5399999996</v>
      </c>
      <c r="G70" s="83">
        <f>ведомств!M343</f>
        <v>25008.1</v>
      </c>
      <c r="H70" s="83">
        <f>ведомств!N343</f>
        <v>-89112.14</v>
      </c>
      <c r="I70" s="83">
        <f>ведомств!O343</f>
        <v>-370390.75</v>
      </c>
      <c r="J70" s="83">
        <f t="shared" si="3"/>
        <v>2821862.01</v>
      </c>
      <c r="K70" s="83">
        <f t="shared" si="4"/>
        <v>2953643.07</v>
      </c>
      <c r="L70" s="83">
        <f t="shared" si="5"/>
        <v>3059447.7899999996</v>
      </c>
      <c r="M70" s="83">
        <f>ведомств!S343</f>
        <v>0</v>
      </c>
      <c r="N70" s="83">
        <f>ведомств!T343</f>
        <v>0</v>
      </c>
      <c r="O70" s="83">
        <f>ведомств!U343</f>
        <v>0</v>
      </c>
      <c r="P70" s="83">
        <f t="shared" si="53"/>
        <v>2821862.01</v>
      </c>
      <c r="Q70" s="83">
        <f t="shared" si="54"/>
        <v>2953643.07</v>
      </c>
      <c r="R70" s="83">
        <f t="shared" si="55"/>
        <v>3059447.7899999996</v>
      </c>
    </row>
    <row r="71" spans="1:18" ht="12" customHeight="1">
      <c r="A71" s="56"/>
      <c r="B71" s="37"/>
      <c r="C71" s="37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</row>
    <row r="72" spans="1:18">
      <c r="A72" s="4" t="s">
        <v>4</v>
      </c>
      <c r="B72" s="15" t="s">
        <v>19</v>
      </c>
      <c r="C72" s="1"/>
      <c r="D72" s="87">
        <f>SUM(D73:D75)</f>
        <v>760000</v>
      </c>
      <c r="E72" s="87">
        <f t="shared" ref="E72:F72" si="56">SUM(E73:E75)</f>
        <v>760000</v>
      </c>
      <c r="F72" s="87">
        <f t="shared" si="56"/>
        <v>760000</v>
      </c>
      <c r="G72" s="87">
        <f t="shared" ref="G72:I72" si="57">SUM(G73:G75)</f>
        <v>0</v>
      </c>
      <c r="H72" s="87">
        <f t="shared" si="57"/>
        <v>0</v>
      </c>
      <c r="I72" s="87">
        <f t="shared" si="57"/>
        <v>0</v>
      </c>
      <c r="J72" s="87">
        <f t="shared" si="3"/>
        <v>760000</v>
      </c>
      <c r="K72" s="87">
        <f t="shared" si="4"/>
        <v>760000</v>
      </c>
      <c r="L72" s="87">
        <f t="shared" si="5"/>
        <v>760000</v>
      </c>
      <c r="M72" s="87">
        <f t="shared" ref="M72:O72" si="58">SUM(M73:M75)</f>
        <v>300000</v>
      </c>
      <c r="N72" s="87">
        <f t="shared" si="58"/>
        <v>0</v>
      </c>
      <c r="O72" s="87">
        <f t="shared" si="58"/>
        <v>0</v>
      </c>
      <c r="P72" s="87">
        <f t="shared" ref="P72:P78" si="59">J72+M72</f>
        <v>1060000</v>
      </c>
      <c r="Q72" s="87">
        <f t="shared" ref="Q72:Q78" si="60">K72+N72</f>
        <v>760000</v>
      </c>
      <c r="R72" s="87">
        <f t="shared" ref="R72:R78" si="61">L72+O72</f>
        <v>760000</v>
      </c>
    </row>
    <row r="73" spans="1:18">
      <c r="A73" s="7" t="s">
        <v>51</v>
      </c>
      <c r="B73" s="1" t="s">
        <v>19</v>
      </c>
      <c r="C73" s="1" t="s">
        <v>20</v>
      </c>
      <c r="D73" s="83">
        <f>ведомств!J160</f>
        <v>760000</v>
      </c>
      <c r="E73" s="83">
        <f>ведомств!K160</f>
        <v>760000</v>
      </c>
      <c r="F73" s="83">
        <f>ведомств!L160</f>
        <v>760000</v>
      </c>
      <c r="G73" s="83">
        <f>ведомств!M160</f>
        <v>0</v>
      </c>
      <c r="H73" s="83">
        <f>ведомств!N160</f>
        <v>0</v>
      </c>
      <c r="I73" s="83">
        <f>ведомств!O160</f>
        <v>0</v>
      </c>
      <c r="J73" s="83">
        <f t="shared" si="3"/>
        <v>760000</v>
      </c>
      <c r="K73" s="83">
        <f t="shared" si="4"/>
        <v>760000</v>
      </c>
      <c r="L73" s="83">
        <f t="shared" si="5"/>
        <v>760000</v>
      </c>
      <c r="M73" s="83">
        <f>ведомств!S160</f>
        <v>300000</v>
      </c>
      <c r="N73" s="83">
        <f>ведомств!T160</f>
        <v>0</v>
      </c>
      <c r="O73" s="83">
        <f>ведомств!U160</f>
        <v>0</v>
      </c>
      <c r="P73" s="83">
        <f t="shared" si="59"/>
        <v>1060000</v>
      </c>
      <c r="Q73" s="83">
        <f t="shared" si="60"/>
        <v>760000</v>
      </c>
      <c r="R73" s="83">
        <f t="shared" si="61"/>
        <v>760000</v>
      </c>
    </row>
    <row r="74" spans="1:18" hidden="1">
      <c r="A74" s="61" t="s">
        <v>69</v>
      </c>
      <c r="B74" s="35" t="s">
        <v>19</v>
      </c>
      <c r="C74" s="35" t="s">
        <v>17</v>
      </c>
      <c r="D74" s="88"/>
      <c r="E74" s="88"/>
      <c r="F74" s="88"/>
      <c r="G74" s="88"/>
      <c r="H74" s="88"/>
      <c r="I74" s="88"/>
      <c r="J74" s="88">
        <f t="shared" si="3"/>
        <v>0</v>
      </c>
      <c r="K74" s="88">
        <f t="shared" si="4"/>
        <v>0</v>
      </c>
      <c r="L74" s="88">
        <f t="shared" si="5"/>
        <v>0</v>
      </c>
      <c r="M74" s="88"/>
      <c r="N74" s="88"/>
      <c r="O74" s="88"/>
      <c r="P74" s="88">
        <f t="shared" si="59"/>
        <v>0</v>
      </c>
      <c r="Q74" s="88">
        <f t="shared" si="60"/>
        <v>0</v>
      </c>
      <c r="R74" s="88">
        <f t="shared" si="61"/>
        <v>0</v>
      </c>
    </row>
    <row r="75" spans="1:18" hidden="1">
      <c r="A75" s="77" t="s">
        <v>126</v>
      </c>
      <c r="B75" s="35" t="s">
        <v>19</v>
      </c>
      <c r="C75" s="35" t="s">
        <v>13</v>
      </c>
      <c r="D75" s="81"/>
      <c r="E75" s="81"/>
      <c r="F75" s="81"/>
      <c r="G75" s="81"/>
      <c r="H75" s="81"/>
      <c r="I75" s="81"/>
      <c r="J75" s="81">
        <f t="shared" si="3"/>
        <v>0</v>
      </c>
      <c r="K75" s="81">
        <f t="shared" si="4"/>
        <v>0</v>
      </c>
      <c r="L75" s="81">
        <f t="shared" si="5"/>
        <v>0</v>
      </c>
      <c r="M75" s="81"/>
      <c r="N75" s="81"/>
      <c r="O75" s="81"/>
      <c r="P75" s="81">
        <f t="shared" si="59"/>
        <v>0</v>
      </c>
      <c r="Q75" s="81">
        <f t="shared" si="60"/>
        <v>0</v>
      </c>
      <c r="R75" s="81">
        <f t="shared" si="61"/>
        <v>0</v>
      </c>
    </row>
    <row r="76" spans="1:18" hidden="1">
      <c r="A76" s="61"/>
      <c r="B76" s="35"/>
      <c r="C76" s="35"/>
      <c r="D76" s="88"/>
      <c r="E76" s="88"/>
      <c r="F76" s="88"/>
      <c r="G76" s="88"/>
      <c r="H76" s="88"/>
      <c r="I76" s="88"/>
      <c r="J76" s="88">
        <f t="shared" si="3"/>
        <v>0</v>
      </c>
      <c r="K76" s="88">
        <f t="shared" si="4"/>
        <v>0</v>
      </c>
      <c r="L76" s="88">
        <f t="shared" si="5"/>
        <v>0</v>
      </c>
      <c r="M76" s="88"/>
      <c r="N76" s="88"/>
      <c r="O76" s="88"/>
      <c r="P76" s="88">
        <f t="shared" si="59"/>
        <v>0</v>
      </c>
      <c r="Q76" s="88">
        <f t="shared" si="60"/>
        <v>0</v>
      </c>
      <c r="R76" s="88">
        <f t="shared" si="61"/>
        <v>0</v>
      </c>
    </row>
    <row r="77" spans="1:18" hidden="1">
      <c r="A77" s="4" t="s">
        <v>56</v>
      </c>
      <c r="B77" s="15" t="s">
        <v>31</v>
      </c>
      <c r="C77" s="1"/>
      <c r="D77" s="87">
        <f>SUM(D78)</f>
        <v>0</v>
      </c>
      <c r="E77" s="87">
        <f t="shared" ref="E77:I77" si="62">SUM(E78)</f>
        <v>0</v>
      </c>
      <c r="F77" s="87">
        <f t="shared" si="62"/>
        <v>0</v>
      </c>
      <c r="G77" s="87">
        <f t="shared" si="62"/>
        <v>0</v>
      </c>
      <c r="H77" s="87">
        <f t="shared" si="62"/>
        <v>0</v>
      </c>
      <c r="I77" s="87">
        <f t="shared" si="62"/>
        <v>0</v>
      </c>
      <c r="J77" s="87">
        <f t="shared" si="3"/>
        <v>0</v>
      </c>
      <c r="K77" s="87">
        <f t="shared" si="4"/>
        <v>0</v>
      </c>
      <c r="L77" s="87">
        <f t="shared" si="5"/>
        <v>0</v>
      </c>
      <c r="M77" s="87">
        <f t="shared" ref="M77:O77" si="63">SUM(M78)</f>
        <v>0</v>
      </c>
      <c r="N77" s="87">
        <f t="shared" si="63"/>
        <v>0</v>
      </c>
      <c r="O77" s="87">
        <f t="shared" si="63"/>
        <v>0</v>
      </c>
      <c r="P77" s="87">
        <f t="shared" si="59"/>
        <v>0</v>
      </c>
      <c r="Q77" s="87">
        <f t="shared" si="60"/>
        <v>0</v>
      </c>
      <c r="R77" s="87">
        <f t="shared" si="61"/>
        <v>0</v>
      </c>
    </row>
    <row r="78" spans="1:18" hidden="1">
      <c r="A78" s="61" t="s">
        <v>57</v>
      </c>
      <c r="B78" s="35" t="s">
        <v>31</v>
      </c>
      <c r="C78" s="35" t="s">
        <v>20</v>
      </c>
      <c r="D78" s="88"/>
      <c r="E78" s="88"/>
      <c r="F78" s="88"/>
      <c r="G78" s="88"/>
      <c r="H78" s="88"/>
      <c r="I78" s="88"/>
      <c r="J78" s="88">
        <f t="shared" si="3"/>
        <v>0</v>
      </c>
      <c r="K78" s="88">
        <f t="shared" si="4"/>
        <v>0</v>
      </c>
      <c r="L78" s="88">
        <f t="shared" si="5"/>
        <v>0</v>
      </c>
      <c r="M78" s="88"/>
      <c r="N78" s="88"/>
      <c r="O78" s="88"/>
      <c r="P78" s="88">
        <f t="shared" si="59"/>
        <v>0</v>
      </c>
      <c r="Q78" s="88">
        <f t="shared" si="60"/>
        <v>0</v>
      </c>
      <c r="R78" s="88">
        <f t="shared" si="61"/>
        <v>0</v>
      </c>
    </row>
    <row r="79" spans="1:18">
      <c r="A79" s="61"/>
      <c r="B79" s="35"/>
      <c r="C79" s="35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</row>
    <row r="80" spans="1:18" ht="12.75" customHeight="1">
      <c r="A80" s="4" t="s">
        <v>112</v>
      </c>
      <c r="B80" s="15" t="s">
        <v>49</v>
      </c>
      <c r="C80" s="1"/>
      <c r="D80" s="87">
        <f>SUM(D81)</f>
        <v>10000</v>
      </c>
      <c r="E80" s="87">
        <f t="shared" ref="E80:I80" si="64">SUM(E81)</f>
        <v>10000</v>
      </c>
      <c r="F80" s="87">
        <f t="shared" si="64"/>
        <v>9600</v>
      </c>
      <c r="G80" s="87">
        <f t="shared" si="64"/>
        <v>0</v>
      </c>
      <c r="H80" s="87">
        <f t="shared" si="64"/>
        <v>0</v>
      </c>
      <c r="I80" s="87">
        <f t="shared" si="64"/>
        <v>0</v>
      </c>
      <c r="J80" s="87">
        <f t="shared" si="3"/>
        <v>10000</v>
      </c>
      <c r="K80" s="87">
        <f t="shared" si="4"/>
        <v>10000</v>
      </c>
      <c r="L80" s="87">
        <f t="shared" si="5"/>
        <v>9600</v>
      </c>
      <c r="M80" s="87">
        <f t="shared" ref="M80:O80" si="65">SUM(M81)</f>
        <v>0</v>
      </c>
      <c r="N80" s="87">
        <f t="shared" si="65"/>
        <v>0</v>
      </c>
      <c r="O80" s="87">
        <f t="shared" si="65"/>
        <v>0</v>
      </c>
      <c r="P80" s="87">
        <f t="shared" ref="P80:P83" si="66">J80+M80</f>
        <v>10000</v>
      </c>
      <c r="Q80" s="87">
        <f t="shared" ref="Q80:Q83" si="67">K80+N80</f>
        <v>10000</v>
      </c>
      <c r="R80" s="87">
        <f t="shared" ref="R80:R83" si="68">L80+O80</f>
        <v>9600</v>
      </c>
    </row>
    <row r="81" spans="1:19">
      <c r="A81" s="61" t="s">
        <v>261</v>
      </c>
      <c r="B81" s="35" t="s">
        <v>49</v>
      </c>
      <c r="C81" s="35" t="s">
        <v>20</v>
      </c>
      <c r="D81" s="88">
        <f>ведомств!J823</f>
        <v>10000</v>
      </c>
      <c r="E81" s="88">
        <f>ведомств!K823</f>
        <v>10000</v>
      </c>
      <c r="F81" s="88">
        <f>ведомств!L823</f>
        <v>9600</v>
      </c>
      <c r="G81" s="88">
        <f>ведомств!M823</f>
        <v>0</v>
      </c>
      <c r="H81" s="88">
        <f>ведомств!N823</f>
        <v>0</v>
      </c>
      <c r="I81" s="88">
        <f>ведомств!O823</f>
        <v>0</v>
      </c>
      <c r="J81" s="88">
        <f>ведомств!P823</f>
        <v>10000</v>
      </c>
      <c r="K81" s="88">
        <f>ведомств!Q823</f>
        <v>10000</v>
      </c>
      <c r="L81" s="88">
        <f>ведомств!R823</f>
        <v>9600</v>
      </c>
      <c r="M81" s="88">
        <f>ведомств!S823</f>
        <v>0</v>
      </c>
      <c r="N81" s="88">
        <f>ведомств!T823</f>
        <v>0</v>
      </c>
      <c r="O81" s="88">
        <f>ведомств!U823</f>
        <v>0</v>
      </c>
      <c r="P81" s="88">
        <f>ведомств!V823</f>
        <v>10000</v>
      </c>
      <c r="Q81" s="88">
        <f>ведомств!W823</f>
        <v>10000</v>
      </c>
      <c r="R81" s="88">
        <f>ведомств!X823</f>
        <v>9600</v>
      </c>
    </row>
    <row r="82" spans="1:19">
      <c r="A82" s="164" t="s">
        <v>389</v>
      </c>
      <c r="B82" s="165"/>
      <c r="C82" s="166"/>
      <c r="D82" s="167"/>
      <c r="E82" s="167">
        <f>ведомств!K1755</f>
        <v>16087000</v>
      </c>
      <c r="F82" s="167">
        <f>ведомств!L1755</f>
        <v>32828000</v>
      </c>
      <c r="G82" s="167">
        <f>ведомств!M1755</f>
        <v>0</v>
      </c>
      <c r="H82" s="167">
        <f>ведомств!N1755</f>
        <v>0</v>
      </c>
      <c r="I82" s="167">
        <f>ведомств!O1755</f>
        <v>0</v>
      </c>
      <c r="J82" s="167">
        <f t="shared" ref="J82:J83" si="69">D82+G82</f>
        <v>0</v>
      </c>
      <c r="K82" s="167">
        <f t="shared" ref="K82:K83" si="70">E82+H82</f>
        <v>16087000</v>
      </c>
      <c r="L82" s="167">
        <f t="shared" ref="L82:L83" si="71">F82+I82</f>
        <v>32828000</v>
      </c>
      <c r="M82" s="167">
        <f>ведомств!S1755</f>
        <v>0</v>
      </c>
      <c r="N82" s="167">
        <f>ведомств!T1755</f>
        <v>0</v>
      </c>
      <c r="O82" s="167">
        <f>ведомств!U1755</f>
        <v>0</v>
      </c>
      <c r="P82" s="167">
        <f t="shared" si="66"/>
        <v>0</v>
      </c>
      <c r="Q82" s="167">
        <f t="shared" si="67"/>
        <v>16087000</v>
      </c>
      <c r="R82" s="167">
        <f t="shared" si="68"/>
        <v>32828000</v>
      </c>
    </row>
    <row r="83" spans="1:19" ht="15">
      <c r="A83" s="66" t="s">
        <v>279</v>
      </c>
      <c r="B83" s="67"/>
      <c r="C83" s="68"/>
      <c r="D83" s="86">
        <f t="shared" ref="D83:I83" si="72">+D17+D27+D30+D36+D48+D42+D52+D59+D66+D72+D77+D80+D63+D82</f>
        <v>975148001.93999994</v>
      </c>
      <c r="E83" s="86">
        <f t="shared" si="72"/>
        <v>900335165.51999998</v>
      </c>
      <c r="F83" s="86">
        <f t="shared" si="72"/>
        <v>922464352.67999995</v>
      </c>
      <c r="G83" s="86">
        <f t="shared" si="72"/>
        <v>101114287.67000002</v>
      </c>
      <c r="H83" s="86">
        <f t="shared" si="72"/>
        <v>771777.1599999998</v>
      </c>
      <c r="I83" s="86">
        <f t="shared" si="72"/>
        <v>-1690538.9500000002</v>
      </c>
      <c r="J83" s="86">
        <f t="shared" si="69"/>
        <v>1076262289.6099999</v>
      </c>
      <c r="K83" s="86">
        <f t="shared" si="70"/>
        <v>901106942.67999995</v>
      </c>
      <c r="L83" s="86">
        <f t="shared" si="71"/>
        <v>920773813.7299999</v>
      </c>
      <c r="M83" s="86">
        <f>+M17+M27+M30+M36+M48+M42+M52+M59+M66+M72+M77+M80+M63+M82</f>
        <v>136145032.75999999</v>
      </c>
      <c r="N83" s="86">
        <f>+N17+N27+N30+N36+N48+N42+N52+N59+N66+N72+N77+N80+N63+N82</f>
        <v>293866.65999999997</v>
      </c>
      <c r="O83" s="86">
        <f>+O17+O27+O30+O36+O48+O42+O52+O59+O66+O72+O77+O80+O63+O82</f>
        <v>278194.39</v>
      </c>
      <c r="P83" s="86">
        <f t="shared" si="66"/>
        <v>1212407322.3699999</v>
      </c>
      <c r="Q83" s="86">
        <f t="shared" si="67"/>
        <v>901400809.33999991</v>
      </c>
      <c r="R83" s="86">
        <f t="shared" si="68"/>
        <v>921052008.11999989</v>
      </c>
      <c r="S83" t="s">
        <v>416</v>
      </c>
    </row>
  </sheetData>
  <mergeCells count="9">
    <mergeCell ref="M13:O13"/>
    <mergeCell ref="P13:R13"/>
    <mergeCell ref="A11:R11"/>
    <mergeCell ref="G13:I13"/>
    <mergeCell ref="J13:L13"/>
    <mergeCell ref="D13:F13"/>
    <mergeCell ref="A13:A14"/>
    <mergeCell ref="B13:B14"/>
    <mergeCell ref="C13:C14"/>
  </mergeCells>
  <phoneticPr fontId="0" type="noConversion"/>
  <pageMargins left="0.59055118110236227" right="0.19685039370078741" top="0.39370078740157483" bottom="0.39370078740157483" header="0.51181102362204722" footer="0.39370078740157483"/>
  <pageSetup paperSize="9" scale="68" fitToHeight="2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1791"/>
  <sheetViews>
    <sheetView tabSelected="1" zoomScaleNormal="100" workbookViewId="0">
      <pane xSplit="12" ySplit="16" topLeftCell="U17" activePane="bottomRight" state="frozen"/>
      <selection pane="topRight" activeCell="M1" sqref="M1"/>
      <selection pane="bottomLeft" activeCell="A17" sqref="A17"/>
      <selection pane="bottomRight" activeCell="A5" sqref="A5"/>
    </sheetView>
  </sheetViews>
  <sheetFormatPr defaultRowHeight="12.75"/>
  <cols>
    <col min="1" max="1" width="69.7109375" customWidth="1"/>
    <col min="2" max="2" width="6.140625" customWidth="1"/>
    <col min="3" max="3" width="5.140625" customWidth="1"/>
    <col min="4" max="4" width="5.28515625" customWidth="1"/>
    <col min="5" max="5" width="3.5703125" style="98" customWidth="1"/>
    <col min="6" max="7" width="3.5703125" customWidth="1"/>
    <col min="8" max="8" width="7" customWidth="1"/>
    <col min="9" max="9" width="6.28515625" customWidth="1"/>
    <col min="10" max="10" width="20" style="82" hidden="1" customWidth="1"/>
    <col min="11" max="11" width="19.5703125" hidden="1" customWidth="1"/>
    <col min="12" max="12" width="20.85546875" hidden="1" customWidth="1"/>
    <col min="13" max="13" width="16.42578125" hidden="1" customWidth="1"/>
    <col min="14" max="14" width="16.7109375" hidden="1" customWidth="1"/>
    <col min="15" max="15" width="16.5703125" hidden="1" customWidth="1"/>
    <col min="16" max="16" width="19.42578125" hidden="1" customWidth="1"/>
    <col min="17" max="17" width="20.140625" hidden="1" customWidth="1"/>
    <col min="18" max="18" width="19.28515625" hidden="1" customWidth="1"/>
    <col min="19" max="19" width="18.140625" hidden="1" customWidth="1"/>
    <col min="20" max="20" width="15.5703125" hidden="1" customWidth="1"/>
    <col min="21" max="21" width="15.28515625" hidden="1" customWidth="1"/>
    <col min="22" max="22" width="21.140625" customWidth="1"/>
    <col min="23" max="23" width="20.140625" customWidth="1"/>
    <col min="24" max="24" width="19.7109375" customWidth="1"/>
    <col min="25" max="25" width="1.42578125" customWidth="1"/>
  </cols>
  <sheetData>
    <row r="1" spans="1:24">
      <c r="X1" s="172" t="s">
        <v>273</v>
      </c>
    </row>
    <row r="2" spans="1:24">
      <c r="X2" s="60" t="s">
        <v>43</v>
      </c>
    </row>
    <row r="3" spans="1:24">
      <c r="X3" s="60" t="s">
        <v>401</v>
      </c>
    </row>
    <row r="4" spans="1:24">
      <c r="X4" s="172" t="s">
        <v>475</v>
      </c>
    </row>
    <row r="6" spans="1:24">
      <c r="L6" s="63"/>
      <c r="X6" s="63" t="s">
        <v>415</v>
      </c>
    </row>
    <row r="7" spans="1:24">
      <c r="L7" s="60"/>
      <c r="X7" s="60" t="s">
        <v>43</v>
      </c>
    </row>
    <row r="8" spans="1:24">
      <c r="L8" s="60"/>
      <c r="X8" s="60" t="s">
        <v>401</v>
      </c>
    </row>
    <row r="9" spans="1:24">
      <c r="L9" s="63"/>
      <c r="X9" s="63" t="s">
        <v>413</v>
      </c>
    </row>
    <row r="10" spans="1:24">
      <c r="J10" s="108"/>
    </row>
    <row r="11" spans="1:24" ht="16.5" customHeight="1">
      <c r="A11" s="330" t="s">
        <v>392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</row>
    <row r="12" spans="1:24">
      <c r="L12" s="112"/>
    </row>
    <row r="13" spans="1:24" ht="55.5" customHeight="1">
      <c r="A13" s="314" t="s">
        <v>10</v>
      </c>
      <c r="B13" s="323" t="s">
        <v>40</v>
      </c>
      <c r="C13" s="316" t="s">
        <v>11</v>
      </c>
      <c r="D13" s="316" t="s">
        <v>12</v>
      </c>
      <c r="E13" s="324" t="s">
        <v>9</v>
      </c>
      <c r="F13" s="325"/>
      <c r="G13" s="325"/>
      <c r="H13" s="326"/>
      <c r="I13" s="318" t="s">
        <v>48</v>
      </c>
      <c r="J13" s="312" t="s">
        <v>398</v>
      </c>
      <c r="K13" s="313"/>
      <c r="L13" s="313"/>
      <c r="M13" s="305" t="s">
        <v>414</v>
      </c>
      <c r="N13" s="306"/>
      <c r="O13" s="307"/>
      <c r="P13" s="306" t="s">
        <v>398</v>
      </c>
      <c r="Q13" s="308"/>
      <c r="R13" s="309"/>
      <c r="S13" s="305" t="s">
        <v>414</v>
      </c>
      <c r="T13" s="306"/>
      <c r="U13" s="307"/>
      <c r="V13" s="306" t="s">
        <v>398</v>
      </c>
      <c r="W13" s="308"/>
      <c r="X13" s="309"/>
    </row>
    <row r="14" spans="1:24" ht="15.75">
      <c r="A14" s="315"/>
      <c r="B14" s="317"/>
      <c r="C14" s="317"/>
      <c r="D14" s="317"/>
      <c r="E14" s="327"/>
      <c r="F14" s="328"/>
      <c r="G14" s="328"/>
      <c r="H14" s="329"/>
      <c r="I14" s="319"/>
      <c r="J14" s="135" t="s">
        <v>276</v>
      </c>
      <c r="K14" s="135" t="s">
        <v>277</v>
      </c>
      <c r="L14" s="135" t="s">
        <v>278</v>
      </c>
      <c r="M14" s="135" t="s">
        <v>276</v>
      </c>
      <c r="N14" s="135" t="s">
        <v>277</v>
      </c>
      <c r="O14" s="135" t="s">
        <v>278</v>
      </c>
      <c r="P14" s="135" t="s">
        <v>276</v>
      </c>
      <c r="Q14" s="135" t="s">
        <v>277</v>
      </c>
      <c r="R14" s="135" t="s">
        <v>278</v>
      </c>
      <c r="S14" s="135" t="s">
        <v>276</v>
      </c>
      <c r="T14" s="135" t="s">
        <v>277</v>
      </c>
      <c r="U14" s="135" t="s">
        <v>278</v>
      </c>
      <c r="V14" s="135" t="s">
        <v>276</v>
      </c>
      <c r="W14" s="135" t="s">
        <v>277</v>
      </c>
      <c r="X14" s="135" t="s">
        <v>278</v>
      </c>
    </row>
    <row r="15" spans="1:24">
      <c r="A15" s="8">
        <v>1</v>
      </c>
      <c r="B15" s="22">
        <v>2</v>
      </c>
      <c r="C15" s="22">
        <v>3</v>
      </c>
      <c r="D15" s="22">
        <v>4</v>
      </c>
      <c r="E15" s="320">
        <v>5</v>
      </c>
      <c r="F15" s="321"/>
      <c r="G15" s="321"/>
      <c r="H15" s="322"/>
      <c r="I15" s="79" t="s">
        <v>67</v>
      </c>
      <c r="J15" s="134" t="s">
        <v>38</v>
      </c>
      <c r="K15" s="136">
        <v>8</v>
      </c>
      <c r="L15" s="136">
        <v>9</v>
      </c>
      <c r="M15" s="134"/>
      <c r="N15" s="136"/>
      <c r="O15" s="136"/>
      <c r="P15" s="174">
        <v>7</v>
      </c>
      <c r="Q15" s="136">
        <v>8</v>
      </c>
      <c r="R15" s="136">
        <v>9</v>
      </c>
      <c r="S15" s="176"/>
      <c r="T15" s="176"/>
      <c r="U15" s="176"/>
      <c r="V15" s="174">
        <v>7</v>
      </c>
      <c r="W15" s="136">
        <v>8</v>
      </c>
      <c r="X15" s="136">
        <v>9</v>
      </c>
    </row>
    <row r="16" spans="1:24">
      <c r="A16" s="19"/>
      <c r="B16" s="38"/>
      <c r="C16" s="20"/>
      <c r="D16" s="20"/>
      <c r="E16" s="96"/>
      <c r="F16" s="20"/>
      <c r="G16" s="20"/>
      <c r="H16" s="20"/>
      <c r="I16" s="20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</row>
    <row r="17" spans="1:24" ht="38.25">
      <c r="A17" s="49" t="s">
        <v>405</v>
      </c>
      <c r="B17" s="46" t="s">
        <v>42</v>
      </c>
      <c r="C17" s="44"/>
      <c r="D17" s="44"/>
      <c r="E17" s="44"/>
      <c r="F17" s="44"/>
      <c r="G17" s="44"/>
      <c r="H17" s="44"/>
      <c r="I17" s="43"/>
      <c r="J17" s="99">
        <f>J18+J40+J66+J159+J152</f>
        <v>135740340.83000001</v>
      </c>
      <c r="K17" s="99">
        <f>K18+K40+K66+K159+K152</f>
        <v>136248036.34999999</v>
      </c>
      <c r="L17" s="99">
        <f>L18+L40+L66+L159+L152</f>
        <v>135236917.69999999</v>
      </c>
      <c r="M17" s="99">
        <f t="shared" ref="M17:O17" si="0">M18+M40+M66+M159+M152</f>
        <v>5370873.4300000006</v>
      </c>
      <c r="N17" s="99">
        <f t="shared" si="0"/>
        <v>-32430.240000000002</v>
      </c>
      <c r="O17" s="99">
        <f t="shared" si="0"/>
        <v>262382.61</v>
      </c>
      <c r="P17" s="99">
        <f>J17+M17</f>
        <v>141111214.26000002</v>
      </c>
      <c r="Q17" s="99">
        <f>K17+N17</f>
        <v>136215606.10999998</v>
      </c>
      <c r="R17" s="99">
        <f>L17+O17</f>
        <v>135499300.31</v>
      </c>
      <c r="S17" s="99">
        <f t="shared" ref="S17:U17" si="1">S18+S40+S66+S159+S152</f>
        <v>36065678.660000004</v>
      </c>
      <c r="T17" s="99">
        <f t="shared" si="1"/>
        <v>0</v>
      </c>
      <c r="U17" s="99">
        <f t="shared" si="1"/>
        <v>0</v>
      </c>
      <c r="V17" s="99">
        <f>P17+S17</f>
        <v>177176892.92000002</v>
      </c>
      <c r="W17" s="99">
        <f>Q17+T17</f>
        <v>136215606.10999998</v>
      </c>
      <c r="X17" s="99">
        <f>R17+U17</f>
        <v>135499300.31</v>
      </c>
    </row>
    <row r="18" spans="1:24" ht="15" customHeight="1">
      <c r="A18" s="24" t="s">
        <v>32</v>
      </c>
      <c r="B18" s="29" t="s">
        <v>42</v>
      </c>
      <c r="C18" s="29" t="s">
        <v>20</v>
      </c>
      <c r="D18" s="30"/>
      <c r="E18" s="30"/>
      <c r="F18" s="30"/>
      <c r="G18" s="30"/>
      <c r="H18" s="30"/>
      <c r="I18" s="31"/>
      <c r="J18" s="100">
        <f>+J19</f>
        <v>2185586.02</v>
      </c>
      <c r="K18" s="100">
        <f t="shared" ref="K18:O18" si="2">+K19</f>
        <v>2077586.02</v>
      </c>
      <c r="L18" s="100">
        <f t="shared" si="2"/>
        <v>1258350.33</v>
      </c>
      <c r="M18" s="100">
        <f t="shared" si="2"/>
        <v>213001.28</v>
      </c>
      <c r="N18" s="100">
        <f t="shared" si="2"/>
        <v>0</v>
      </c>
      <c r="O18" s="100">
        <f t="shared" si="2"/>
        <v>0</v>
      </c>
      <c r="P18" s="100">
        <f t="shared" ref="P18:P112" si="3">J18+M18</f>
        <v>2398587.2999999998</v>
      </c>
      <c r="Q18" s="100">
        <f t="shared" ref="Q18:Q112" si="4">K18+N18</f>
        <v>2077586.02</v>
      </c>
      <c r="R18" s="100">
        <f t="shared" ref="R18:R112" si="5">L18+O18</f>
        <v>1258350.33</v>
      </c>
      <c r="S18" s="100">
        <f t="shared" ref="S18:U18" si="6">+S19</f>
        <v>8056195.7599999998</v>
      </c>
      <c r="T18" s="100">
        <f t="shared" si="6"/>
        <v>0</v>
      </c>
      <c r="U18" s="100">
        <f t="shared" si="6"/>
        <v>0</v>
      </c>
      <c r="V18" s="100">
        <f t="shared" ref="V18:V31" si="7">P18+S18</f>
        <v>10454783.059999999</v>
      </c>
      <c r="W18" s="100">
        <f t="shared" ref="W18:W31" si="8">Q18+T18</f>
        <v>2077586.02</v>
      </c>
      <c r="X18" s="100">
        <f t="shared" ref="X18:X31" si="9">R18+U18</f>
        <v>1258350.33</v>
      </c>
    </row>
    <row r="19" spans="1:24">
      <c r="A19" s="4" t="s">
        <v>1</v>
      </c>
      <c r="B19" s="14" t="s">
        <v>42</v>
      </c>
      <c r="C19" s="15" t="s">
        <v>20</v>
      </c>
      <c r="D19" s="15" t="s">
        <v>49</v>
      </c>
      <c r="E19" s="15"/>
      <c r="F19" s="15"/>
      <c r="G19" s="15"/>
      <c r="H19" s="1"/>
      <c r="I19" s="13"/>
      <c r="J19" s="101">
        <f>+J20+J24+J28</f>
        <v>2185586.02</v>
      </c>
      <c r="K19" s="101">
        <f t="shared" ref="K19:L19" si="10">+K20+K24+K28</f>
        <v>2077586.02</v>
      </c>
      <c r="L19" s="101">
        <f t="shared" si="10"/>
        <v>1258350.33</v>
      </c>
      <c r="M19" s="101">
        <f t="shared" ref="M19:O19" si="11">+M20+M24+M28</f>
        <v>213001.28</v>
      </c>
      <c r="N19" s="101">
        <f t="shared" si="11"/>
        <v>0</v>
      </c>
      <c r="O19" s="101">
        <f t="shared" si="11"/>
        <v>0</v>
      </c>
      <c r="P19" s="101">
        <f t="shared" si="3"/>
        <v>2398587.2999999998</v>
      </c>
      <c r="Q19" s="101">
        <f t="shared" si="4"/>
        <v>2077586.02</v>
      </c>
      <c r="R19" s="101">
        <f t="shared" si="5"/>
        <v>1258350.33</v>
      </c>
      <c r="S19" s="101">
        <f>+S20+S24+S28+S35</f>
        <v>8056195.7599999998</v>
      </c>
      <c r="T19" s="101">
        <f t="shared" ref="T19:U19" si="12">+T20+T24+T28+T35</f>
        <v>0</v>
      </c>
      <c r="U19" s="101">
        <f t="shared" si="12"/>
        <v>0</v>
      </c>
      <c r="V19" s="101">
        <f t="shared" si="7"/>
        <v>10454783.059999999</v>
      </c>
      <c r="W19" s="101">
        <f t="shared" si="8"/>
        <v>2077586.02</v>
      </c>
      <c r="X19" s="101">
        <f t="shared" si="9"/>
        <v>1258350.33</v>
      </c>
    </row>
    <row r="20" spans="1:24" ht="25.5">
      <c r="A20" s="78" t="s">
        <v>281</v>
      </c>
      <c r="B20" s="65" t="s">
        <v>42</v>
      </c>
      <c r="C20" s="1" t="s">
        <v>20</v>
      </c>
      <c r="D20" s="1" t="s">
        <v>49</v>
      </c>
      <c r="E20" s="1" t="s">
        <v>16</v>
      </c>
      <c r="F20" s="1" t="s">
        <v>70</v>
      </c>
      <c r="G20" s="1" t="s">
        <v>148</v>
      </c>
      <c r="H20" s="1" t="s">
        <v>149</v>
      </c>
      <c r="I20" s="13"/>
      <c r="J20" s="104">
        <f>J21</f>
        <v>50000</v>
      </c>
      <c r="K20" s="104">
        <f t="shared" ref="K20:O20" si="13">K21</f>
        <v>50000</v>
      </c>
      <c r="L20" s="104">
        <f t="shared" si="13"/>
        <v>50000</v>
      </c>
      <c r="M20" s="104">
        <f t="shared" si="13"/>
        <v>0</v>
      </c>
      <c r="N20" s="104">
        <f t="shared" si="13"/>
        <v>0</v>
      </c>
      <c r="O20" s="104">
        <f t="shared" si="13"/>
        <v>0</v>
      </c>
      <c r="P20" s="104">
        <f t="shared" si="3"/>
        <v>50000</v>
      </c>
      <c r="Q20" s="104">
        <f t="shared" si="4"/>
        <v>50000</v>
      </c>
      <c r="R20" s="104">
        <f t="shared" si="5"/>
        <v>50000</v>
      </c>
      <c r="S20" s="104">
        <f t="shared" ref="S20:U22" si="14">S21</f>
        <v>0</v>
      </c>
      <c r="T20" s="104">
        <f t="shared" si="14"/>
        <v>0</v>
      </c>
      <c r="U20" s="104">
        <f t="shared" si="14"/>
        <v>0</v>
      </c>
      <c r="V20" s="104">
        <f t="shared" si="7"/>
        <v>50000</v>
      </c>
      <c r="W20" s="104">
        <f t="shared" si="8"/>
        <v>50000</v>
      </c>
      <c r="X20" s="104">
        <f t="shared" si="9"/>
        <v>50000</v>
      </c>
    </row>
    <row r="21" spans="1:24">
      <c r="A21" s="114" t="s">
        <v>315</v>
      </c>
      <c r="B21" s="65" t="s">
        <v>42</v>
      </c>
      <c r="C21" s="1" t="s">
        <v>20</v>
      </c>
      <c r="D21" s="1" t="s">
        <v>49</v>
      </c>
      <c r="E21" s="1" t="s">
        <v>16</v>
      </c>
      <c r="F21" s="1" t="s">
        <v>70</v>
      </c>
      <c r="G21" s="1" t="s">
        <v>148</v>
      </c>
      <c r="H21" s="1" t="s">
        <v>190</v>
      </c>
      <c r="I21" s="13"/>
      <c r="J21" s="104">
        <f t="shared" ref="J21:O22" si="15">J22</f>
        <v>50000</v>
      </c>
      <c r="K21" s="104">
        <f t="shared" si="15"/>
        <v>50000</v>
      </c>
      <c r="L21" s="104">
        <f t="shared" si="15"/>
        <v>50000</v>
      </c>
      <c r="M21" s="104">
        <f t="shared" si="15"/>
        <v>0</v>
      </c>
      <c r="N21" s="104">
        <f t="shared" si="15"/>
        <v>0</v>
      </c>
      <c r="O21" s="104">
        <f t="shared" si="15"/>
        <v>0</v>
      </c>
      <c r="P21" s="104">
        <f t="shared" si="3"/>
        <v>50000</v>
      </c>
      <c r="Q21" s="104">
        <f t="shared" si="4"/>
        <v>50000</v>
      </c>
      <c r="R21" s="104">
        <f t="shared" si="5"/>
        <v>50000</v>
      </c>
      <c r="S21" s="104">
        <f t="shared" si="14"/>
        <v>0</v>
      </c>
      <c r="T21" s="104">
        <f t="shared" si="14"/>
        <v>0</v>
      </c>
      <c r="U21" s="104">
        <f t="shared" si="14"/>
        <v>0</v>
      </c>
      <c r="V21" s="104">
        <f t="shared" si="7"/>
        <v>50000</v>
      </c>
      <c r="W21" s="104">
        <f t="shared" si="8"/>
        <v>50000</v>
      </c>
      <c r="X21" s="104">
        <f t="shared" si="9"/>
        <v>50000</v>
      </c>
    </row>
    <row r="22" spans="1:24" ht="25.5">
      <c r="A22" s="78" t="s">
        <v>260</v>
      </c>
      <c r="B22" s="65" t="s">
        <v>42</v>
      </c>
      <c r="C22" s="1" t="s">
        <v>20</v>
      </c>
      <c r="D22" s="1" t="s">
        <v>49</v>
      </c>
      <c r="E22" s="1" t="s">
        <v>16</v>
      </c>
      <c r="F22" s="1" t="s">
        <v>70</v>
      </c>
      <c r="G22" s="1" t="s">
        <v>148</v>
      </c>
      <c r="H22" s="1" t="s">
        <v>190</v>
      </c>
      <c r="I22" s="13" t="s">
        <v>94</v>
      </c>
      <c r="J22" s="104">
        <f t="shared" si="15"/>
        <v>50000</v>
      </c>
      <c r="K22" s="104">
        <f t="shared" si="15"/>
        <v>50000</v>
      </c>
      <c r="L22" s="104">
        <f t="shared" si="15"/>
        <v>50000</v>
      </c>
      <c r="M22" s="104">
        <f t="shared" si="15"/>
        <v>0</v>
      </c>
      <c r="N22" s="104">
        <f t="shared" si="15"/>
        <v>0</v>
      </c>
      <c r="O22" s="104">
        <f t="shared" si="15"/>
        <v>0</v>
      </c>
      <c r="P22" s="104">
        <f t="shared" si="3"/>
        <v>50000</v>
      </c>
      <c r="Q22" s="104">
        <f t="shared" si="4"/>
        <v>50000</v>
      </c>
      <c r="R22" s="104">
        <f t="shared" si="5"/>
        <v>50000</v>
      </c>
      <c r="S22" s="104">
        <f t="shared" si="14"/>
        <v>0</v>
      </c>
      <c r="T22" s="104">
        <f t="shared" si="14"/>
        <v>0</v>
      </c>
      <c r="U22" s="104">
        <f t="shared" si="14"/>
        <v>0</v>
      </c>
      <c r="V22" s="104">
        <f t="shared" si="7"/>
        <v>50000</v>
      </c>
      <c r="W22" s="104">
        <f t="shared" si="8"/>
        <v>50000</v>
      </c>
      <c r="X22" s="104">
        <f t="shared" si="9"/>
        <v>50000</v>
      </c>
    </row>
    <row r="23" spans="1:24" ht="25.5">
      <c r="A23" s="77" t="s">
        <v>98</v>
      </c>
      <c r="B23" s="65" t="s">
        <v>42</v>
      </c>
      <c r="C23" s="1" t="s">
        <v>20</v>
      </c>
      <c r="D23" s="1" t="s">
        <v>49</v>
      </c>
      <c r="E23" s="1" t="s">
        <v>16</v>
      </c>
      <c r="F23" s="1" t="s">
        <v>70</v>
      </c>
      <c r="G23" s="1" t="s">
        <v>148</v>
      </c>
      <c r="H23" s="1" t="s">
        <v>190</v>
      </c>
      <c r="I23" s="13" t="s">
        <v>95</v>
      </c>
      <c r="J23" s="104">
        <v>50000</v>
      </c>
      <c r="K23" s="104">
        <v>50000</v>
      </c>
      <c r="L23" s="104">
        <v>50000</v>
      </c>
      <c r="M23" s="104"/>
      <c r="N23" s="104"/>
      <c r="O23" s="104"/>
      <c r="P23" s="104">
        <f t="shared" si="3"/>
        <v>50000</v>
      </c>
      <c r="Q23" s="104">
        <f t="shared" si="4"/>
        <v>50000</v>
      </c>
      <c r="R23" s="104">
        <f t="shared" si="5"/>
        <v>50000</v>
      </c>
      <c r="S23" s="104"/>
      <c r="T23" s="104"/>
      <c r="U23" s="104"/>
      <c r="V23" s="104">
        <f t="shared" si="7"/>
        <v>50000</v>
      </c>
      <c r="W23" s="104">
        <f t="shared" si="8"/>
        <v>50000</v>
      </c>
      <c r="X23" s="104">
        <f t="shared" si="9"/>
        <v>50000</v>
      </c>
    </row>
    <row r="24" spans="1:24" ht="38.25">
      <c r="A24" s="2" t="s">
        <v>310</v>
      </c>
      <c r="B24" s="65" t="s">
        <v>42</v>
      </c>
      <c r="C24" s="10" t="s">
        <v>20</v>
      </c>
      <c r="D24" s="1" t="s">
        <v>49</v>
      </c>
      <c r="E24" s="1" t="s">
        <v>30</v>
      </c>
      <c r="F24" s="1" t="s">
        <v>70</v>
      </c>
      <c r="G24" s="1" t="s">
        <v>148</v>
      </c>
      <c r="H24" s="1" t="s">
        <v>149</v>
      </c>
      <c r="I24" s="13"/>
      <c r="J24" s="102">
        <f>J25</f>
        <v>2035586.02</v>
      </c>
      <c r="K24" s="102">
        <f t="shared" ref="J24:O26" si="16">K25</f>
        <v>1927586.02</v>
      </c>
      <c r="L24" s="102">
        <f t="shared" si="16"/>
        <v>1108350.33</v>
      </c>
      <c r="M24" s="102">
        <f t="shared" si="16"/>
        <v>213001.28</v>
      </c>
      <c r="N24" s="102">
        <f t="shared" si="16"/>
        <v>0</v>
      </c>
      <c r="O24" s="102">
        <f t="shared" si="16"/>
        <v>0</v>
      </c>
      <c r="P24" s="102">
        <f t="shared" si="3"/>
        <v>2248587.2999999998</v>
      </c>
      <c r="Q24" s="102">
        <f t="shared" si="4"/>
        <v>1927586.02</v>
      </c>
      <c r="R24" s="102">
        <f t="shared" si="5"/>
        <v>1108350.33</v>
      </c>
      <c r="S24" s="102">
        <f t="shared" ref="S24:U26" si="17">S25</f>
        <v>56195.76</v>
      </c>
      <c r="T24" s="102">
        <f t="shared" si="17"/>
        <v>0</v>
      </c>
      <c r="U24" s="102">
        <f t="shared" si="17"/>
        <v>0</v>
      </c>
      <c r="V24" s="102">
        <f t="shared" si="7"/>
        <v>2304783.0599999996</v>
      </c>
      <c r="W24" s="102">
        <f t="shared" si="8"/>
        <v>1927586.02</v>
      </c>
      <c r="X24" s="102">
        <f t="shared" si="9"/>
        <v>1108350.33</v>
      </c>
    </row>
    <row r="25" spans="1:24" ht="25.5">
      <c r="A25" s="2" t="s">
        <v>308</v>
      </c>
      <c r="B25" s="65" t="s">
        <v>42</v>
      </c>
      <c r="C25" s="10" t="s">
        <v>20</v>
      </c>
      <c r="D25" s="1" t="s">
        <v>49</v>
      </c>
      <c r="E25" s="1" t="s">
        <v>30</v>
      </c>
      <c r="F25" s="1" t="s">
        <v>70</v>
      </c>
      <c r="G25" s="1" t="s">
        <v>148</v>
      </c>
      <c r="H25" s="1" t="s">
        <v>309</v>
      </c>
      <c r="I25" s="13"/>
      <c r="J25" s="81">
        <f t="shared" si="16"/>
        <v>2035586.02</v>
      </c>
      <c r="K25" s="81">
        <f t="shared" si="16"/>
        <v>1927586.02</v>
      </c>
      <c r="L25" s="81">
        <f t="shared" si="16"/>
        <v>1108350.33</v>
      </c>
      <c r="M25" s="81">
        <f t="shared" si="16"/>
        <v>213001.28</v>
      </c>
      <c r="N25" s="81">
        <f t="shared" si="16"/>
        <v>0</v>
      </c>
      <c r="O25" s="81">
        <f t="shared" si="16"/>
        <v>0</v>
      </c>
      <c r="P25" s="81">
        <f t="shared" si="3"/>
        <v>2248587.2999999998</v>
      </c>
      <c r="Q25" s="81">
        <f t="shared" si="4"/>
        <v>1927586.02</v>
      </c>
      <c r="R25" s="81">
        <f t="shared" si="5"/>
        <v>1108350.33</v>
      </c>
      <c r="S25" s="81">
        <f t="shared" si="17"/>
        <v>56195.76</v>
      </c>
      <c r="T25" s="81">
        <f t="shared" si="17"/>
        <v>0</v>
      </c>
      <c r="U25" s="81">
        <f t="shared" si="17"/>
        <v>0</v>
      </c>
      <c r="V25" s="81">
        <f t="shared" si="7"/>
        <v>2304783.0599999996</v>
      </c>
      <c r="W25" s="81">
        <f t="shared" si="8"/>
        <v>1927586.02</v>
      </c>
      <c r="X25" s="81">
        <f t="shared" si="9"/>
        <v>1108350.33</v>
      </c>
    </row>
    <row r="26" spans="1:24" ht="25.5">
      <c r="A26" s="78" t="s">
        <v>260</v>
      </c>
      <c r="B26" s="65" t="s">
        <v>42</v>
      </c>
      <c r="C26" s="10" t="s">
        <v>20</v>
      </c>
      <c r="D26" s="1" t="s">
        <v>49</v>
      </c>
      <c r="E26" s="1" t="s">
        <v>30</v>
      </c>
      <c r="F26" s="1" t="s">
        <v>70</v>
      </c>
      <c r="G26" s="1" t="s">
        <v>148</v>
      </c>
      <c r="H26" s="1" t="s">
        <v>309</v>
      </c>
      <c r="I26" s="13" t="s">
        <v>94</v>
      </c>
      <c r="J26" s="81">
        <f t="shared" si="16"/>
        <v>2035586.02</v>
      </c>
      <c r="K26" s="81">
        <f t="shared" si="16"/>
        <v>1927586.02</v>
      </c>
      <c r="L26" s="81">
        <f t="shared" si="16"/>
        <v>1108350.33</v>
      </c>
      <c r="M26" s="81">
        <f t="shared" si="16"/>
        <v>213001.28</v>
      </c>
      <c r="N26" s="81">
        <f t="shared" si="16"/>
        <v>0</v>
      </c>
      <c r="O26" s="81">
        <f t="shared" si="16"/>
        <v>0</v>
      </c>
      <c r="P26" s="81">
        <f t="shared" si="3"/>
        <v>2248587.2999999998</v>
      </c>
      <c r="Q26" s="81">
        <f t="shared" si="4"/>
        <v>1927586.02</v>
      </c>
      <c r="R26" s="81">
        <f t="shared" si="5"/>
        <v>1108350.33</v>
      </c>
      <c r="S26" s="81">
        <f t="shared" si="17"/>
        <v>56195.76</v>
      </c>
      <c r="T26" s="81">
        <f t="shared" si="17"/>
        <v>0</v>
      </c>
      <c r="U26" s="81">
        <f t="shared" si="17"/>
        <v>0</v>
      </c>
      <c r="V26" s="81">
        <f t="shared" si="7"/>
        <v>2304783.0599999996</v>
      </c>
      <c r="W26" s="81">
        <f t="shared" si="8"/>
        <v>1927586.02</v>
      </c>
      <c r="X26" s="81">
        <f t="shared" si="9"/>
        <v>1108350.33</v>
      </c>
    </row>
    <row r="27" spans="1:24" ht="25.5">
      <c r="A27" s="77" t="s">
        <v>98</v>
      </c>
      <c r="B27" s="65" t="s">
        <v>42</v>
      </c>
      <c r="C27" s="10" t="s">
        <v>20</v>
      </c>
      <c r="D27" s="1" t="s">
        <v>49</v>
      </c>
      <c r="E27" s="1" t="s">
        <v>30</v>
      </c>
      <c r="F27" s="1" t="s">
        <v>70</v>
      </c>
      <c r="G27" s="1" t="s">
        <v>148</v>
      </c>
      <c r="H27" s="1" t="s">
        <v>309</v>
      </c>
      <c r="I27" s="13" t="s">
        <v>95</v>
      </c>
      <c r="J27" s="81">
        <f>1515586.02+520000</f>
        <v>2035586.02</v>
      </c>
      <c r="K27" s="81">
        <f>1515586.02+412000</f>
        <v>1927586.02</v>
      </c>
      <c r="L27" s="102">
        <f>696350.33+412000</f>
        <v>1108350.33</v>
      </c>
      <c r="M27" s="81">
        <v>213001.28</v>
      </c>
      <c r="N27" s="81"/>
      <c r="O27" s="102"/>
      <c r="P27" s="81">
        <f t="shared" si="3"/>
        <v>2248587.2999999998</v>
      </c>
      <c r="Q27" s="81">
        <f t="shared" si="4"/>
        <v>1927586.02</v>
      </c>
      <c r="R27" s="102">
        <f t="shared" si="5"/>
        <v>1108350.33</v>
      </c>
      <c r="S27" s="81">
        <v>56195.76</v>
      </c>
      <c r="T27" s="81"/>
      <c r="U27" s="102"/>
      <c r="V27" s="81">
        <f t="shared" si="7"/>
        <v>2304783.0599999996</v>
      </c>
      <c r="W27" s="81">
        <f t="shared" si="8"/>
        <v>1927586.02</v>
      </c>
      <c r="X27" s="102">
        <f t="shared" si="9"/>
        <v>1108350.33</v>
      </c>
    </row>
    <row r="28" spans="1:24" ht="38.25">
      <c r="A28" s="77" t="s">
        <v>318</v>
      </c>
      <c r="B28" s="65" t="s">
        <v>42</v>
      </c>
      <c r="C28" s="10" t="s">
        <v>20</v>
      </c>
      <c r="D28" s="1" t="s">
        <v>49</v>
      </c>
      <c r="E28" s="1" t="s">
        <v>316</v>
      </c>
      <c r="F28" s="1" t="s">
        <v>70</v>
      </c>
      <c r="G28" s="1" t="s">
        <v>148</v>
      </c>
      <c r="H28" s="1" t="s">
        <v>149</v>
      </c>
      <c r="I28" s="13"/>
      <c r="J28" s="81">
        <f>J29</f>
        <v>100000</v>
      </c>
      <c r="K28" s="81">
        <f t="shared" ref="K28:O30" si="18">K29</f>
        <v>100000</v>
      </c>
      <c r="L28" s="81">
        <f t="shared" si="18"/>
        <v>100000</v>
      </c>
      <c r="M28" s="81">
        <f t="shared" si="18"/>
        <v>0</v>
      </c>
      <c r="N28" s="81">
        <f t="shared" si="18"/>
        <v>0</v>
      </c>
      <c r="O28" s="81">
        <f t="shared" si="18"/>
        <v>0</v>
      </c>
      <c r="P28" s="81">
        <f t="shared" si="3"/>
        <v>100000</v>
      </c>
      <c r="Q28" s="81">
        <f t="shared" si="4"/>
        <v>100000</v>
      </c>
      <c r="R28" s="81">
        <f t="shared" si="5"/>
        <v>100000</v>
      </c>
      <c r="S28" s="81">
        <f>S29+S32</f>
        <v>7000000</v>
      </c>
      <c r="T28" s="81">
        <f t="shared" ref="T28:U28" si="19">T29+T32</f>
        <v>0</v>
      </c>
      <c r="U28" s="81">
        <f t="shared" si="19"/>
        <v>0</v>
      </c>
      <c r="V28" s="81">
        <f t="shared" si="7"/>
        <v>7100000</v>
      </c>
      <c r="W28" s="81">
        <f t="shared" si="8"/>
        <v>100000</v>
      </c>
      <c r="X28" s="81">
        <f t="shared" si="9"/>
        <v>100000</v>
      </c>
    </row>
    <row r="29" spans="1:24" ht="25.5">
      <c r="A29" s="77" t="s">
        <v>368</v>
      </c>
      <c r="B29" s="65" t="s">
        <v>42</v>
      </c>
      <c r="C29" s="10" t="s">
        <v>20</v>
      </c>
      <c r="D29" s="1" t="s">
        <v>49</v>
      </c>
      <c r="E29" s="1" t="s">
        <v>316</v>
      </c>
      <c r="F29" s="1" t="s">
        <v>70</v>
      </c>
      <c r="G29" s="1" t="s">
        <v>148</v>
      </c>
      <c r="H29" s="1" t="s">
        <v>317</v>
      </c>
      <c r="I29" s="13"/>
      <c r="J29" s="81">
        <f>J30</f>
        <v>100000</v>
      </c>
      <c r="K29" s="81">
        <f t="shared" si="18"/>
        <v>100000</v>
      </c>
      <c r="L29" s="81">
        <f t="shared" si="18"/>
        <v>100000</v>
      </c>
      <c r="M29" s="81">
        <f t="shared" si="18"/>
        <v>0</v>
      </c>
      <c r="N29" s="81">
        <f t="shared" si="18"/>
        <v>0</v>
      </c>
      <c r="O29" s="81">
        <f t="shared" si="18"/>
        <v>0</v>
      </c>
      <c r="P29" s="81">
        <f t="shared" si="3"/>
        <v>100000</v>
      </c>
      <c r="Q29" s="81">
        <f t="shared" si="4"/>
        <v>100000</v>
      </c>
      <c r="R29" s="81">
        <f t="shared" si="5"/>
        <v>100000</v>
      </c>
      <c r="S29" s="81">
        <f t="shared" ref="S29:U30" si="20">S30</f>
        <v>0</v>
      </c>
      <c r="T29" s="81">
        <f t="shared" si="20"/>
        <v>0</v>
      </c>
      <c r="U29" s="81">
        <f t="shared" si="20"/>
        <v>0</v>
      </c>
      <c r="V29" s="81">
        <f t="shared" si="7"/>
        <v>100000</v>
      </c>
      <c r="W29" s="81">
        <f t="shared" si="8"/>
        <v>100000</v>
      </c>
      <c r="X29" s="81">
        <f t="shared" si="9"/>
        <v>100000</v>
      </c>
    </row>
    <row r="30" spans="1:24" ht="25.5">
      <c r="A30" s="78" t="s">
        <v>260</v>
      </c>
      <c r="B30" s="65" t="s">
        <v>42</v>
      </c>
      <c r="C30" s="10" t="s">
        <v>20</v>
      </c>
      <c r="D30" s="1" t="s">
        <v>49</v>
      </c>
      <c r="E30" s="1" t="s">
        <v>316</v>
      </c>
      <c r="F30" s="1" t="s">
        <v>70</v>
      </c>
      <c r="G30" s="1" t="s">
        <v>148</v>
      </c>
      <c r="H30" s="1" t="s">
        <v>317</v>
      </c>
      <c r="I30" s="13" t="s">
        <v>94</v>
      </c>
      <c r="J30" s="81">
        <f>J31</f>
        <v>100000</v>
      </c>
      <c r="K30" s="81">
        <f t="shared" si="18"/>
        <v>100000</v>
      </c>
      <c r="L30" s="81">
        <f t="shared" si="18"/>
        <v>100000</v>
      </c>
      <c r="M30" s="81">
        <f t="shared" si="18"/>
        <v>0</v>
      </c>
      <c r="N30" s="81">
        <f t="shared" si="18"/>
        <v>0</v>
      </c>
      <c r="O30" s="81">
        <f t="shared" si="18"/>
        <v>0</v>
      </c>
      <c r="P30" s="81">
        <f t="shared" si="3"/>
        <v>100000</v>
      </c>
      <c r="Q30" s="81">
        <f t="shared" si="4"/>
        <v>100000</v>
      </c>
      <c r="R30" s="81">
        <f t="shared" si="5"/>
        <v>100000</v>
      </c>
      <c r="S30" s="81">
        <f t="shared" si="20"/>
        <v>0</v>
      </c>
      <c r="T30" s="81">
        <f t="shared" si="20"/>
        <v>0</v>
      </c>
      <c r="U30" s="81">
        <f t="shared" si="20"/>
        <v>0</v>
      </c>
      <c r="V30" s="81">
        <f t="shared" si="7"/>
        <v>100000</v>
      </c>
      <c r="W30" s="81">
        <f t="shared" si="8"/>
        <v>100000</v>
      </c>
      <c r="X30" s="81">
        <f t="shared" si="9"/>
        <v>100000</v>
      </c>
    </row>
    <row r="31" spans="1:24" ht="25.5">
      <c r="A31" s="77" t="s">
        <v>98</v>
      </c>
      <c r="B31" s="65" t="s">
        <v>42</v>
      </c>
      <c r="C31" s="10" t="s">
        <v>20</v>
      </c>
      <c r="D31" s="1" t="s">
        <v>49</v>
      </c>
      <c r="E31" s="1" t="s">
        <v>316</v>
      </c>
      <c r="F31" s="1" t="s">
        <v>70</v>
      </c>
      <c r="G31" s="1" t="s">
        <v>148</v>
      </c>
      <c r="H31" s="1" t="s">
        <v>317</v>
      </c>
      <c r="I31" s="13" t="s">
        <v>95</v>
      </c>
      <c r="J31" s="81">
        <v>100000</v>
      </c>
      <c r="K31" s="81">
        <v>100000</v>
      </c>
      <c r="L31" s="102">
        <v>100000</v>
      </c>
      <c r="M31" s="81"/>
      <c r="N31" s="81"/>
      <c r="O31" s="102"/>
      <c r="P31" s="81">
        <f t="shared" si="3"/>
        <v>100000</v>
      </c>
      <c r="Q31" s="81">
        <f t="shared" si="4"/>
        <v>100000</v>
      </c>
      <c r="R31" s="102">
        <f t="shared" si="5"/>
        <v>100000</v>
      </c>
      <c r="S31" s="81"/>
      <c r="T31" s="81"/>
      <c r="U31" s="102"/>
      <c r="V31" s="81">
        <f t="shared" si="7"/>
        <v>100000</v>
      </c>
      <c r="W31" s="81">
        <f t="shared" si="8"/>
        <v>100000</v>
      </c>
      <c r="X31" s="102">
        <f t="shared" si="9"/>
        <v>100000</v>
      </c>
    </row>
    <row r="32" spans="1:24" ht="25.5">
      <c r="A32" s="77" t="s">
        <v>450</v>
      </c>
      <c r="B32" s="65" t="s">
        <v>42</v>
      </c>
      <c r="C32" s="10" t="s">
        <v>20</v>
      </c>
      <c r="D32" s="1" t="s">
        <v>49</v>
      </c>
      <c r="E32" s="1" t="s">
        <v>316</v>
      </c>
      <c r="F32" s="1" t="s">
        <v>70</v>
      </c>
      <c r="G32" s="1" t="s">
        <v>148</v>
      </c>
      <c r="H32" s="1" t="s">
        <v>474</v>
      </c>
      <c r="I32" s="13"/>
      <c r="J32" s="81"/>
      <c r="K32" s="81"/>
      <c r="L32" s="102"/>
      <c r="M32" s="81"/>
      <c r="N32" s="81"/>
      <c r="O32" s="102"/>
      <c r="P32" s="81"/>
      <c r="Q32" s="81"/>
      <c r="R32" s="102"/>
      <c r="S32" s="81">
        <f>S33</f>
        <v>7000000</v>
      </c>
      <c r="T32" s="81">
        <f t="shared" ref="T32:U33" si="21">T33</f>
        <v>0</v>
      </c>
      <c r="U32" s="81">
        <f t="shared" si="21"/>
        <v>0</v>
      </c>
      <c r="V32" s="81">
        <f t="shared" ref="V32:V34" si="22">P32+S32</f>
        <v>7000000</v>
      </c>
      <c r="W32" s="81">
        <f t="shared" ref="W32:W34" si="23">Q32+T32</f>
        <v>0</v>
      </c>
      <c r="X32" s="102">
        <f t="shared" ref="X32:X34" si="24">R32+U32</f>
        <v>0</v>
      </c>
    </row>
    <row r="33" spans="1:24" ht="25.5">
      <c r="A33" s="78" t="s">
        <v>260</v>
      </c>
      <c r="B33" s="65" t="s">
        <v>42</v>
      </c>
      <c r="C33" s="10" t="s">
        <v>20</v>
      </c>
      <c r="D33" s="1" t="s">
        <v>49</v>
      </c>
      <c r="E33" s="1" t="s">
        <v>316</v>
      </c>
      <c r="F33" s="1" t="s">
        <v>70</v>
      </c>
      <c r="G33" s="1" t="s">
        <v>148</v>
      </c>
      <c r="H33" s="1" t="s">
        <v>474</v>
      </c>
      <c r="I33" s="13" t="s">
        <v>94</v>
      </c>
      <c r="J33" s="81"/>
      <c r="K33" s="81"/>
      <c r="L33" s="102"/>
      <c r="M33" s="81"/>
      <c r="N33" s="81"/>
      <c r="O33" s="102"/>
      <c r="P33" s="81"/>
      <c r="Q33" s="81"/>
      <c r="R33" s="102"/>
      <c r="S33" s="81">
        <f>S34</f>
        <v>7000000</v>
      </c>
      <c r="T33" s="81">
        <f t="shared" si="21"/>
        <v>0</v>
      </c>
      <c r="U33" s="81">
        <f t="shared" si="21"/>
        <v>0</v>
      </c>
      <c r="V33" s="81">
        <f t="shared" si="22"/>
        <v>7000000</v>
      </c>
      <c r="W33" s="81">
        <f t="shared" si="23"/>
        <v>0</v>
      </c>
      <c r="X33" s="102">
        <f t="shared" si="24"/>
        <v>0</v>
      </c>
    </row>
    <row r="34" spans="1:24" ht="25.5">
      <c r="A34" s="77" t="s">
        <v>98</v>
      </c>
      <c r="B34" s="65" t="s">
        <v>42</v>
      </c>
      <c r="C34" s="10" t="s">
        <v>20</v>
      </c>
      <c r="D34" s="1" t="s">
        <v>49</v>
      </c>
      <c r="E34" s="1" t="s">
        <v>316</v>
      </c>
      <c r="F34" s="1" t="s">
        <v>70</v>
      </c>
      <c r="G34" s="1" t="s">
        <v>148</v>
      </c>
      <c r="H34" s="1" t="s">
        <v>474</v>
      </c>
      <c r="I34" s="13" t="s">
        <v>95</v>
      </c>
      <c r="J34" s="81"/>
      <c r="K34" s="81"/>
      <c r="L34" s="102"/>
      <c r="M34" s="81"/>
      <c r="N34" s="81"/>
      <c r="O34" s="102"/>
      <c r="P34" s="81"/>
      <c r="Q34" s="81"/>
      <c r="R34" s="102"/>
      <c r="S34" s="81">
        <f>6000000+1000000</f>
        <v>7000000</v>
      </c>
      <c r="T34" s="81"/>
      <c r="U34" s="102"/>
      <c r="V34" s="81">
        <f t="shared" si="22"/>
        <v>7000000</v>
      </c>
      <c r="W34" s="81">
        <f t="shared" si="23"/>
        <v>0</v>
      </c>
      <c r="X34" s="102">
        <f t="shared" si="24"/>
        <v>0</v>
      </c>
    </row>
    <row r="35" spans="1:24">
      <c r="A35" s="7" t="s">
        <v>83</v>
      </c>
      <c r="B35" s="65" t="s">
        <v>42</v>
      </c>
      <c r="C35" s="10" t="s">
        <v>20</v>
      </c>
      <c r="D35" s="1" t="s">
        <v>49</v>
      </c>
      <c r="E35" s="1" t="s">
        <v>82</v>
      </c>
      <c r="F35" s="1" t="s">
        <v>70</v>
      </c>
      <c r="G35" s="1" t="s">
        <v>148</v>
      </c>
      <c r="H35" s="1" t="s">
        <v>149</v>
      </c>
      <c r="I35" s="13"/>
      <c r="J35" s="81"/>
      <c r="K35" s="81"/>
      <c r="L35" s="102"/>
      <c r="M35" s="81"/>
      <c r="N35" s="81"/>
      <c r="O35" s="102"/>
      <c r="P35" s="81"/>
      <c r="Q35" s="81"/>
      <c r="R35" s="102"/>
      <c r="S35" s="81">
        <f>S36</f>
        <v>1000000</v>
      </c>
      <c r="T35" s="81">
        <f t="shared" ref="T35:U37" si="25">T36</f>
        <v>0</v>
      </c>
      <c r="U35" s="81">
        <f t="shared" si="25"/>
        <v>0</v>
      </c>
      <c r="V35" s="81">
        <f t="shared" ref="V35:V38" si="26">P35+S35</f>
        <v>1000000</v>
      </c>
      <c r="W35" s="81">
        <f t="shared" ref="W35:W38" si="27">Q35+T35</f>
        <v>0</v>
      </c>
      <c r="X35" s="102">
        <f t="shared" ref="X35:X38" si="28">R35+U35</f>
        <v>0</v>
      </c>
    </row>
    <row r="36" spans="1:24">
      <c r="A36" s="77" t="s">
        <v>240</v>
      </c>
      <c r="B36" s="65" t="s">
        <v>42</v>
      </c>
      <c r="C36" s="10" t="s">
        <v>20</v>
      </c>
      <c r="D36" s="1" t="s">
        <v>49</v>
      </c>
      <c r="E36" s="1" t="s">
        <v>82</v>
      </c>
      <c r="F36" s="1" t="s">
        <v>70</v>
      </c>
      <c r="G36" s="1" t="s">
        <v>148</v>
      </c>
      <c r="H36" s="1" t="s">
        <v>241</v>
      </c>
      <c r="I36" s="13"/>
      <c r="J36" s="81"/>
      <c r="K36" s="81"/>
      <c r="L36" s="102"/>
      <c r="M36" s="81"/>
      <c r="N36" s="81"/>
      <c r="O36" s="102"/>
      <c r="P36" s="81"/>
      <c r="Q36" s="81"/>
      <c r="R36" s="102"/>
      <c r="S36" s="81">
        <f>S37</f>
        <v>1000000</v>
      </c>
      <c r="T36" s="81">
        <f t="shared" si="25"/>
        <v>0</v>
      </c>
      <c r="U36" s="81">
        <f t="shared" si="25"/>
        <v>0</v>
      </c>
      <c r="V36" s="81">
        <f t="shared" si="26"/>
        <v>1000000</v>
      </c>
      <c r="W36" s="81">
        <f t="shared" si="27"/>
        <v>0</v>
      </c>
      <c r="X36" s="102">
        <f t="shared" si="28"/>
        <v>0</v>
      </c>
    </row>
    <row r="37" spans="1:24" ht="25.5">
      <c r="A37" s="78" t="s">
        <v>260</v>
      </c>
      <c r="B37" s="65" t="s">
        <v>42</v>
      </c>
      <c r="C37" s="10" t="s">
        <v>20</v>
      </c>
      <c r="D37" s="1" t="s">
        <v>49</v>
      </c>
      <c r="E37" s="1" t="s">
        <v>82</v>
      </c>
      <c r="F37" s="1" t="s">
        <v>70</v>
      </c>
      <c r="G37" s="1" t="s">
        <v>148</v>
      </c>
      <c r="H37" s="1" t="s">
        <v>241</v>
      </c>
      <c r="I37" s="13" t="s">
        <v>94</v>
      </c>
      <c r="J37" s="81"/>
      <c r="K37" s="81"/>
      <c r="L37" s="102"/>
      <c r="M37" s="81"/>
      <c r="N37" s="81"/>
      <c r="O37" s="102"/>
      <c r="P37" s="81"/>
      <c r="Q37" s="81"/>
      <c r="R37" s="102"/>
      <c r="S37" s="81">
        <f>S38</f>
        <v>1000000</v>
      </c>
      <c r="T37" s="81">
        <f t="shared" si="25"/>
        <v>0</v>
      </c>
      <c r="U37" s="81">
        <f t="shared" si="25"/>
        <v>0</v>
      </c>
      <c r="V37" s="81">
        <f t="shared" si="26"/>
        <v>1000000</v>
      </c>
      <c r="W37" s="81">
        <f t="shared" si="27"/>
        <v>0</v>
      </c>
      <c r="X37" s="102">
        <f t="shared" si="28"/>
        <v>0</v>
      </c>
    </row>
    <row r="38" spans="1:24" ht="25.5">
      <c r="A38" s="77" t="s">
        <v>98</v>
      </c>
      <c r="B38" s="65" t="s">
        <v>42</v>
      </c>
      <c r="C38" s="10" t="s">
        <v>20</v>
      </c>
      <c r="D38" s="1" t="s">
        <v>49</v>
      </c>
      <c r="E38" s="1" t="s">
        <v>82</v>
      </c>
      <c r="F38" s="1" t="s">
        <v>70</v>
      </c>
      <c r="G38" s="1" t="s">
        <v>148</v>
      </c>
      <c r="H38" s="1" t="s">
        <v>241</v>
      </c>
      <c r="I38" s="13" t="s">
        <v>95</v>
      </c>
      <c r="J38" s="81"/>
      <c r="K38" s="81"/>
      <c r="L38" s="102"/>
      <c r="M38" s="81"/>
      <c r="N38" s="81"/>
      <c r="O38" s="102"/>
      <c r="P38" s="81"/>
      <c r="Q38" s="81"/>
      <c r="R38" s="102"/>
      <c r="S38" s="81">
        <v>1000000</v>
      </c>
      <c r="T38" s="81"/>
      <c r="U38" s="102"/>
      <c r="V38" s="81">
        <f t="shared" si="26"/>
        <v>1000000</v>
      </c>
      <c r="W38" s="81">
        <f t="shared" si="27"/>
        <v>0</v>
      </c>
      <c r="X38" s="102">
        <f t="shared" si="28"/>
        <v>0</v>
      </c>
    </row>
    <row r="39" spans="1:24">
      <c r="A39" s="77"/>
      <c r="B39" s="65"/>
      <c r="C39" s="10"/>
      <c r="D39" s="1"/>
      <c r="E39" s="1"/>
      <c r="F39" s="1"/>
      <c r="G39" s="1"/>
      <c r="H39" s="1"/>
      <c r="I39" s="13"/>
      <c r="J39" s="81"/>
      <c r="K39" s="81"/>
      <c r="L39" s="102"/>
      <c r="M39" s="81"/>
      <c r="N39" s="81"/>
      <c r="O39" s="102"/>
      <c r="P39" s="81"/>
      <c r="Q39" s="81"/>
      <c r="R39" s="102"/>
      <c r="S39" s="81"/>
      <c r="T39" s="81"/>
      <c r="U39" s="102"/>
      <c r="V39" s="81"/>
      <c r="W39" s="81"/>
      <c r="X39" s="102"/>
    </row>
    <row r="40" spans="1:24" ht="15.75">
      <c r="A40" s="24" t="s">
        <v>24</v>
      </c>
      <c r="B40" s="29" t="s">
        <v>42</v>
      </c>
      <c r="C40" s="29" t="s">
        <v>2</v>
      </c>
      <c r="D40" s="30"/>
      <c r="E40" s="30"/>
      <c r="F40" s="30"/>
      <c r="G40" s="30"/>
      <c r="H40" s="30"/>
      <c r="I40" s="31"/>
      <c r="J40" s="100">
        <f>J41+J60</f>
        <v>17889682</v>
      </c>
      <c r="K40" s="100">
        <f t="shared" ref="K40:L40" si="29">K41+K60</f>
        <v>18154242.760000002</v>
      </c>
      <c r="L40" s="100">
        <f t="shared" si="29"/>
        <v>17937946.07</v>
      </c>
      <c r="M40" s="100">
        <f t="shared" ref="M40:O40" si="30">M41+M60</f>
        <v>0</v>
      </c>
      <c r="N40" s="100">
        <f t="shared" si="30"/>
        <v>0</v>
      </c>
      <c r="O40" s="100">
        <f t="shared" si="30"/>
        <v>0</v>
      </c>
      <c r="P40" s="100">
        <f t="shared" si="3"/>
        <v>17889682</v>
      </c>
      <c r="Q40" s="100">
        <f t="shared" si="4"/>
        <v>18154242.760000002</v>
      </c>
      <c r="R40" s="100">
        <f t="shared" si="5"/>
        <v>17937946.07</v>
      </c>
      <c r="S40" s="100">
        <f t="shared" ref="S40:U40" si="31">S41+S60</f>
        <v>-179840</v>
      </c>
      <c r="T40" s="100">
        <f t="shared" si="31"/>
        <v>0</v>
      </c>
      <c r="U40" s="100">
        <f t="shared" si="31"/>
        <v>0</v>
      </c>
      <c r="V40" s="100">
        <f t="shared" ref="V40:V58" si="32">P40+S40</f>
        <v>17709842</v>
      </c>
      <c r="W40" s="100">
        <f t="shared" ref="W40:W58" si="33">Q40+T40</f>
        <v>18154242.760000002</v>
      </c>
      <c r="X40" s="100">
        <f t="shared" ref="X40:X58" si="34">R40+U40</f>
        <v>17937946.07</v>
      </c>
    </row>
    <row r="41" spans="1:24" ht="19.5" customHeight="1">
      <c r="A41" s="4" t="s">
        <v>203</v>
      </c>
      <c r="B41" s="14" t="s">
        <v>42</v>
      </c>
      <c r="C41" s="15" t="s">
        <v>2</v>
      </c>
      <c r="D41" s="15" t="s">
        <v>13</v>
      </c>
      <c r="E41" s="15"/>
      <c r="F41" s="15"/>
      <c r="G41" s="15"/>
      <c r="H41" s="1"/>
      <c r="I41" s="13"/>
      <c r="J41" s="101">
        <f>J42</f>
        <v>17707682</v>
      </c>
      <c r="K41" s="101">
        <f t="shared" ref="K41:O42" si="35">K42</f>
        <v>17972242.760000002</v>
      </c>
      <c r="L41" s="101">
        <f t="shared" si="35"/>
        <v>17755946.07</v>
      </c>
      <c r="M41" s="101">
        <f t="shared" si="35"/>
        <v>0</v>
      </c>
      <c r="N41" s="101">
        <f t="shared" si="35"/>
        <v>0</v>
      </c>
      <c r="O41" s="101">
        <f t="shared" si="35"/>
        <v>0</v>
      </c>
      <c r="P41" s="101">
        <f t="shared" si="3"/>
        <v>17707682</v>
      </c>
      <c r="Q41" s="101">
        <f t="shared" si="4"/>
        <v>17972242.760000002</v>
      </c>
      <c r="R41" s="101">
        <f t="shared" si="5"/>
        <v>17755946.07</v>
      </c>
      <c r="S41" s="101">
        <f t="shared" ref="S41:U42" si="36">S42</f>
        <v>-179840</v>
      </c>
      <c r="T41" s="101">
        <f t="shared" si="36"/>
        <v>0</v>
      </c>
      <c r="U41" s="101">
        <f t="shared" si="36"/>
        <v>0</v>
      </c>
      <c r="V41" s="101">
        <f t="shared" si="32"/>
        <v>17527842</v>
      </c>
      <c r="W41" s="101">
        <f t="shared" si="33"/>
        <v>17972242.760000002</v>
      </c>
      <c r="X41" s="101">
        <f t="shared" si="34"/>
        <v>17755946.07</v>
      </c>
    </row>
    <row r="42" spans="1:24" ht="27.75" customHeight="1">
      <c r="A42" s="2" t="s">
        <v>282</v>
      </c>
      <c r="B42" s="65" t="s">
        <v>42</v>
      </c>
      <c r="C42" s="1" t="s">
        <v>2</v>
      </c>
      <c r="D42" s="1" t="s">
        <v>13</v>
      </c>
      <c r="E42" s="1" t="s">
        <v>17</v>
      </c>
      <c r="F42" s="1" t="s">
        <v>70</v>
      </c>
      <c r="G42" s="1" t="s">
        <v>148</v>
      </c>
      <c r="H42" s="1" t="s">
        <v>149</v>
      </c>
      <c r="I42" s="13"/>
      <c r="J42" s="104">
        <f>J43</f>
        <v>17707682</v>
      </c>
      <c r="K42" s="104">
        <f t="shared" si="35"/>
        <v>17972242.760000002</v>
      </c>
      <c r="L42" s="104">
        <f t="shared" si="35"/>
        <v>17755946.07</v>
      </c>
      <c r="M42" s="104">
        <f t="shared" si="35"/>
        <v>0</v>
      </c>
      <c r="N42" s="104">
        <f t="shared" si="35"/>
        <v>0</v>
      </c>
      <c r="O42" s="104">
        <f t="shared" si="35"/>
        <v>0</v>
      </c>
      <c r="P42" s="104">
        <f t="shared" si="3"/>
        <v>17707682</v>
      </c>
      <c r="Q42" s="104">
        <f t="shared" si="4"/>
        <v>17972242.760000002</v>
      </c>
      <c r="R42" s="104">
        <f t="shared" si="5"/>
        <v>17755946.07</v>
      </c>
      <c r="S42" s="104">
        <f t="shared" si="36"/>
        <v>-179840</v>
      </c>
      <c r="T42" s="104">
        <f t="shared" si="36"/>
        <v>0</v>
      </c>
      <c r="U42" s="104">
        <f t="shared" si="36"/>
        <v>0</v>
      </c>
      <c r="V42" s="104">
        <f t="shared" si="32"/>
        <v>17527842</v>
      </c>
      <c r="W42" s="104">
        <f t="shared" si="33"/>
        <v>17972242.760000002</v>
      </c>
      <c r="X42" s="104">
        <f t="shared" si="34"/>
        <v>17755946.07</v>
      </c>
    </row>
    <row r="43" spans="1:24" ht="25.5">
      <c r="A43" s="2" t="s">
        <v>131</v>
      </c>
      <c r="B43" s="65" t="s">
        <v>42</v>
      </c>
      <c r="C43" s="1" t="s">
        <v>2</v>
      </c>
      <c r="D43" s="1" t="s">
        <v>13</v>
      </c>
      <c r="E43" s="1" t="s">
        <v>17</v>
      </c>
      <c r="F43" s="1" t="s">
        <v>113</v>
      </c>
      <c r="G43" s="1" t="s">
        <v>148</v>
      </c>
      <c r="H43" s="1" t="s">
        <v>149</v>
      </c>
      <c r="I43" s="13"/>
      <c r="J43" s="104">
        <f>J44+J47+J50+J56</f>
        <v>17707682</v>
      </c>
      <c r="K43" s="104">
        <f t="shared" ref="K43:L43" si="37">K44+K47+K50+K56</f>
        <v>17972242.760000002</v>
      </c>
      <c r="L43" s="104">
        <f t="shared" si="37"/>
        <v>17755946.07</v>
      </c>
      <c r="M43" s="104">
        <f t="shared" ref="M43:O43" si="38">M44+M47+M50+M56</f>
        <v>0</v>
      </c>
      <c r="N43" s="104">
        <f t="shared" si="38"/>
        <v>0</v>
      </c>
      <c r="O43" s="104">
        <f t="shared" si="38"/>
        <v>0</v>
      </c>
      <c r="P43" s="104">
        <f t="shared" si="3"/>
        <v>17707682</v>
      </c>
      <c r="Q43" s="104">
        <f t="shared" si="4"/>
        <v>17972242.760000002</v>
      </c>
      <c r="R43" s="104">
        <f t="shared" si="5"/>
        <v>17755946.07</v>
      </c>
      <c r="S43" s="104">
        <f>S44+S47+S50+S56+S53</f>
        <v>-179840</v>
      </c>
      <c r="T43" s="104">
        <f t="shared" ref="T43:U43" si="39">T44+T47+T50+T56+T53</f>
        <v>0</v>
      </c>
      <c r="U43" s="104">
        <f t="shared" si="39"/>
        <v>0</v>
      </c>
      <c r="V43" s="104">
        <f t="shared" si="32"/>
        <v>17527842</v>
      </c>
      <c r="W43" s="104">
        <f t="shared" si="33"/>
        <v>17972242.760000002</v>
      </c>
      <c r="X43" s="104">
        <f t="shared" si="34"/>
        <v>17755946.07</v>
      </c>
    </row>
    <row r="44" spans="1:24" ht="25.5">
      <c r="A44" s="2" t="s">
        <v>377</v>
      </c>
      <c r="B44" s="65" t="s">
        <v>42</v>
      </c>
      <c r="C44" s="1" t="s">
        <v>2</v>
      </c>
      <c r="D44" s="1" t="s">
        <v>13</v>
      </c>
      <c r="E44" s="1" t="s">
        <v>17</v>
      </c>
      <c r="F44" s="1" t="s">
        <v>113</v>
      </c>
      <c r="G44" s="1" t="s">
        <v>148</v>
      </c>
      <c r="H44" s="1" t="s">
        <v>226</v>
      </c>
      <c r="I44" s="13"/>
      <c r="J44" s="104">
        <f>J45</f>
        <v>500000</v>
      </c>
      <c r="K44" s="104">
        <f t="shared" ref="K44:O45" si="40">K45</f>
        <v>500000</v>
      </c>
      <c r="L44" s="104">
        <f t="shared" si="40"/>
        <v>0</v>
      </c>
      <c r="M44" s="104">
        <f t="shared" si="40"/>
        <v>0</v>
      </c>
      <c r="N44" s="104">
        <f t="shared" si="40"/>
        <v>0</v>
      </c>
      <c r="O44" s="104">
        <f t="shared" si="40"/>
        <v>0</v>
      </c>
      <c r="P44" s="104">
        <f t="shared" si="3"/>
        <v>500000</v>
      </c>
      <c r="Q44" s="104">
        <f t="shared" si="4"/>
        <v>500000</v>
      </c>
      <c r="R44" s="104">
        <f t="shared" si="5"/>
        <v>0</v>
      </c>
      <c r="S44" s="104">
        <f t="shared" ref="S44:U45" si="41">S45</f>
        <v>-224840</v>
      </c>
      <c r="T44" s="104">
        <f t="shared" si="41"/>
        <v>0</v>
      </c>
      <c r="U44" s="104">
        <f t="shared" si="41"/>
        <v>0</v>
      </c>
      <c r="V44" s="104">
        <f t="shared" si="32"/>
        <v>275160</v>
      </c>
      <c r="W44" s="104">
        <f t="shared" si="33"/>
        <v>500000</v>
      </c>
      <c r="X44" s="104">
        <f t="shared" si="34"/>
        <v>0</v>
      </c>
    </row>
    <row r="45" spans="1:24" ht="25.5">
      <c r="A45" s="7" t="s">
        <v>72</v>
      </c>
      <c r="B45" s="65" t="s">
        <v>42</v>
      </c>
      <c r="C45" s="1" t="s">
        <v>2</v>
      </c>
      <c r="D45" s="1" t="s">
        <v>13</v>
      </c>
      <c r="E45" s="1" t="s">
        <v>17</v>
      </c>
      <c r="F45" s="1" t="s">
        <v>113</v>
      </c>
      <c r="G45" s="1" t="s">
        <v>148</v>
      </c>
      <c r="H45" s="1" t="s">
        <v>226</v>
      </c>
      <c r="I45" s="13" t="s">
        <v>71</v>
      </c>
      <c r="J45" s="104">
        <f>J46</f>
        <v>500000</v>
      </c>
      <c r="K45" s="104">
        <f t="shared" si="40"/>
        <v>500000</v>
      </c>
      <c r="L45" s="104">
        <f t="shared" si="40"/>
        <v>0</v>
      </c>
      <c r="M45" s="104">
        <f t="shared" si="40"/>
        <v>0</v>
      </c>
      <c r="N45" s="104">
        <f t="shared" si="40"/>
        <v>0</v>
      </c>
      <c r="O45" s="104">
        <f t="shared" si="40"/>
        <v>0</v>
      </c>
      <c r="P45" s="104">
        <f t="shared" si="3"/>
        <v>500000</v>
      </c>
      <c r="Q45" s="104">
        <f t="shared" si="4"/>
        <v>500000</v>
      </c>
      <c r="R45" s="104">
        <f t="shared" si="5"/>
        <v>0</v>
      </c>
      <c r="S45" s="104">
        <f t="shared" si="41"/>
        <v>-224840</v>
      </c>
      <c r="T45" s="104">
        <f t="shared" si="41"/>
        <v>0</v>
      </c>
      <c r="U45" s="104">
        <f t="shared" si="41"/>
        <v>0</v>
      </c>
      <c r="V45" s="104">
        <f t="shared" si="32"/>
        <v>275160</v>
      </c>
      <c r="W45" s="104">
        <f t="shared" si="33"/>
        <v>500000</v>
      </c>
      <c r="X45" s="104">
        <f t="shared" si="34"/>
        <v>0</v>
      </c>
    </row>
    <row r="46" spans="1:24">
      <c r="A46" s="11" t="s">
        <v>75</v>
      </c>
      <c r="B46" s="65" t="s">
        <v>42</v>
      </c>
      <c r="C46" s="1" t="s">
        <v>2</v>
      </c>
      <c r="D46" s="1" t="s">
        <v>13</v>
      </c>
      <c r="E46" s="1" t="s">
        <v>17</v>
      </c>
      <c r="F46" s="1" t="s">
        <v>113</v>
      </c>
      <c r="G46" s="1" t="s">
        <v>148</v>
      </c>
      <c r="H46" s="1" t="s">
        <v>226</v>
      </c>
      <c r="I46" s="13" t="s">
        <v>74</v>
      </c>
      <c r="J46" s="104">
        <v>500000</v>
      </c>
      <c r="K46" s="104">
        <v>500000</v>
      </c>
      <c r="L46" s="104"/>
      <c r="M46" s="104"/>
      <c r="N46" s="104"/>
      <c r="O46" s="104"/>
      <c r="P46" s="104">
        <f t="shared" si="3"/>
        <v>500000</v>
      </c>
      <c r="Q46" s="104">
        <f t="shared" si="4"/>
        <v>500000</v>
      </c>
      <c r="R46" s="104">
        <f t="shared" si="5"/>
        <v>0</v>
      </c>
      <c r="S46" s="104">
        <v>-224840</v>
      </c>
      <c r="T46" s="104"/>
      <c r="U46" s="104"/>
      <c r="V46" s="104">
        <f t="shared" si="32"/>
        <v>275160</v>
      </c>
      <c r="W46" s="104">
        <f t="shared" si="33"/>
        <v>500000</v>
      </c>
      <c r="X46" s="104">
        <f t="shared" si="34"/>
        <v>0</v>
      </c>
    </row>
    <row r="47" spans="1:24">
      <c r="A47" s="2" t="s">
        <v>132</v>
      </c>
      <c r="B47" s="65" t="s">
        <v>42</v>
      </c>
      <c r="C47" s="1" t="s">
        <v>2</v>
      </c>
      <c r="D47" s="1" t="s">
        <v>13</v>
      </c>
      <c r="E47" s="1" t="s">
        <v>17</v>
      </c>
      <c r="F47" s="1" t="s">
        <v>113</v>
      </c>
      <c r="G47" s="1" t="s">
        <v>148</v>
      </c>
      <c r="H47" s="1" t="s">
        <v>150</v>
      </c>
      <c r="I47" s="13"/>
      <c r="J47" s="104">
        <f>J48</f>
        <v>57000</v>
      </c>
      <c r="K47" s="104">
        <f t="shared" ref="K47:O48" si="42">K48</f>
        <v>57000</v>
      </c>
      <c r="L47" s="104">
        <f t="shared" si="42"/>
        <v>57000</v>
      </c>
      <c r="M47" s="104"/>
      <c r="N47" s="104"/>
      <c r="O47" s="104"/>
      <c r="P47" s="104">
        <f t="shared" si="3"/>
        <v>57000</v>
      </c>
      <c r="Q47" s="104">
        <f t="shared" si="4"/>
        <v>57000</v>
      </c>
      <c r="R47" s="104">
        <f t="shared" si="5"/>
        <v>57000</v>
      </c>
      <c r="S47" s="104"/>
      <c r="T47" s="104"/>
      <c r="U47" s="104"/>
      <c r="V47" s="104">
        <f t="shared" si="32"/>
        <v>57000</v>
      </c>
      <c r="W47" s="104">
        <f t="shared" si="33"/>
        <v>57000</v>
      </c>
      <c r="X47" s="104">
        <f t="shared" si="34"/>
        <v>57000</v>
      </c>
    </row>
    <row r="48" spans="1:24" ht="25.5">
      <c r="A48" s="7" t="s">
        <v>72</v>
      </c>
      <c r="B48" s="65" t="s">
        <v>42</v>
      </c>
      <c r="C48" s="1" t="s">
        <v>2</v>
      </c>
      <c r="D48" s="1" t="s">
        <v>13</v>
      </c>
      <c r="E48" s="1" t="s">
        <v>17</v>
      </c>
      <c r="F48" s="1" t="s">
        <v>113</v>
      </c>
      <c r="G48" s="1" t="s">
        <v>148</v>
      </c>
      <c r="H48" s="1" t="s">
        <v>150</v>
      </c>
      <c r="I48" s="13" t="s">
        <v>71</v>
      </c>
      <c r="J48" s="104">
        <f>J49</f>
        <v>57000</v>
      </c>
      <c r="K48" s="104">
        <f t="shared" si="42"/>
        <v>57000</v>
      </c>
      <c r="L48" s="104">
        <f t="shared" si="42"/>
        <v>57000</v>
      </c>
      <c r="M48" s="104">
        <f t="shared" si="42"/>
        <v>0</v>
      </c>
      <c r="N48" s="104">
        <f t="shared" si="42"/>
        <v>0</v>
      </c>
      <c r="O48" s="104">
        <f t="shared" si="42"/>
        <v>0</v>
      </c>
      <c r="P48" s="104">
        <f t="shared" si="3"/>
        <v>57000</v>
      </c>
      <c r="Q48" s="104">
        <f t="shared" si="4"/>
        <v>57000</v>
      </c>
      <c r="R48" s="104">
        <f t="shared" si="5"/>
        <v>57000</v>
      </c>
      <c r="S48" s="104">
        <f t="shared" ref="S48:U48" si="43">S49</f>
        <v>0</v>
      </c>
      <c r="T48" s="104">
        <f t="shared" si="43"/>
        <v>0</v>
      </c>
      <c r="U48" s="104">
        <f t="shared" si="43"/>
        <v>0</v>
      </c>
      <c r="V48" s="104">
        <f t="shared" si="32"/>
        <v>57000</v>
      </c>
      <c r="W48" s="104">
        <f t="shared" si="33"/>
        <v>57000</v>
      </c>
      <c r="X48" s="104">
        <f t="shared" si="34"/>
        <v>57000</v>
      </c>
    </row>
    <row r="49" spans="1:24">
      <c r="A49" s="11" t="s">
        <v>75</v>
      </c>
      <c r="B49" s="65" t="s">
        <v>42</v>
      </c>
      <c r="C49" s="1" t="s">
        <v>2</v>
      </c>
      <c r="D49" s="1" t="s">
        <v>13</v>
      </c>
      <c r="E49" s="1" t="s">
        <v>17</v>
      </c>
      <c r="F49" s="1" t="s">
        <v>113</v>
      </c>
      <c r="G49" s="1" t="s">
        <v>148</v>
      </c>
      <c r="H49" s="1" t="s">
        <v>150</v>
      </c>
      <c r="I49" s="13" t="s">
        <v>74</v>
      </c>
      <c r="J49" s="104">
        <v>57000</v>
      </c>
      <c r="K49" s="104">
        <v>57000</v>
      </c>
      <c r="L49" s="104">
        <v>57000</v>
      </c>
      <c r="M49" s="104"/>
      <c r="N49" s="104"/>
      <c r="O49" s="104"/>
      <c r="P49" s="104">
        <f t="shared" si="3"/>
        <v>57000</v>
      </c>
      <c r="Q49" s="104">
        <f t="shared" si="4"/>
        <v>57000</v>
      </c>
      <c r="R49" s="104">
        <f t="shared" si="5"/>
        <v>57000</v>
      </c>
      <c r="S49" s="104"/>
      <c r="T49" s="104"/>
      <c r="U49" s="104"/>
      <c r="V49" s="104">
        <f t="shared" si="32"/>
        <v>57000</v>
      </c>
      <c r="W49" s="104">
        <f t="shared" si="33"/>
        <v>57000</v>
      </c>
      <c r="X49" s="104">
        <f t="shared" si="34"/>
        <v>57000</v>
      </c>
    </row>
    <row r="50" spans="1:24">
      <c r="A50" s="2" t="s">
        <v>133</v>
      </c>
      <c r="B50" s="65" t="s">
        <v>42</v>
      </c>
      <c r="C50" s="1" t="s">
        <v>2</v>
      </c>
      <c r="D50" s="1" t="s">
        <v>13</v>
      </c>
      <c r="E50" s="1" t="s">
        <v>17</v>
      </c>
      <c r="F50" s="1" t="s">
        <v>113</v>
      </c>
      <c r="G50" s="1" t="s">
        <v>148</v>
      </c>
      <c r="H50" s="1" t="s">
        <v>151</v>
      </c>
      <c r="I50" s="13"/>
      <c r="J50" s="104">
        <f>J51</f>
        <v>17010682</v>
      </c>
      <c r="K50" s="104">
        <f t="shared" ref="K50:O51" si="44">K51</f>
        <v>17269642.760000002</v>
      </c>
      <c r="L50" s="104">
        <f t="shared" si="44"/>
        <v>17534418.07</v>
      </c>
      <c r="M50" s="104">
        <f t="shared" si="44"/>
        <v>0</v>
      </c>
      <c r="N50" s="104">
        <f t="shared" si="44"/>
        <v>0</v>
      </c>
      <c r="O50" s="104">
        <f t="shared" si="44"/>
        <v>0</v>
      </c>
      <c r="P50" s="104">
        <f t="shared" si="3"/>
        <v>17010682</v>
      </c>
      <c r="Q50" s="104">
        <f t="shared" si="4"/>
        <v>17269642.760000002</v>
      </c>
      <c r="R50" s="104">
        <f t="shared" si="5"/>
        <v>17534418.07</v>
      </c>
      <c r="S50" s="104">
        <f t="shared" ref="S50:U51" si="45">S51</f>
        <v>0</v>
      </c>
      <c r="T50" s="104">
        <f t="shared" si="45"/>
        <v>0</v>
      </c>
      <c r="U50" s="104">
        <f t="shared" si="45"/>
        <v>0</v>
      </c>
      <c r="V50" s="104">
        <f t="shared" si="32"/>
        <v>17010682</v>
      </c>
      <c r="W50" s="104">
        <f t="shared" si="33"/>
        <v>17269642.760000002</v>
      </c>
      <c r="X50" s="104">
        <f t="shared" si="34"/>
        <v>17534418.07</v>
      </c>
    </row>
    <row r="51" spans="1:24" ht="25.5">
      <c r="A51" s="7" t="s">
        <v>72</v>
      </c>
      <c r="B51" s="65" t="s">
        <v>42</v>
      </c>
      <c r="C51" s="1" t="s">
        <v>2</v>
      </c>
      <c r="D51" s="1" t="s">
        <v>13</v>
      </c>
      <c r="E51" s="1" t="s">
        <v>17</v>
      </c>
      <c r="F51" s="1" t="s">
        <v>113</v>
      </c>
      <c r="G51" s="1" t="s">
        <v>148</v>
      </c>
      <c r="H51" s="1" t="s">
        <v>151</v>
      </c>
      <c r="I51" s="13" t="s">
        <v>71</v>
      </c>
      <c r="J51" s="104">
        <f>J52</f>
        <v>17010682</v>
      </c>
      <c r="K51" s="104">
        <f t="shared" si="44"/>
        <v>17269642.760000002</v>
      </c>
      <c r="L51" s="104">
        <f t="shared" si="44"/>
        <v>17534418.07</v>
      </c>
      <c r="M51" s="104">
        <f t="shared" si="44"/>
        <v>0</v>
      </c>
      <c r="N51" s="104">
        <f t="shared" si="44"/>
        <v>0</v>
      </c>
      <c r="O51" s="104">
        <f t="shared" si="44"/>
        <v>0</v>
      </c>
      <c r="P51" s="104">
        <f t="shared" si="3"/>
        <v>17010682</v>
      </c>
      <c r="Q51" s="104">
        <f t="shared" si="4"/>
        <v>17269642.760000002</v>
      </c>
      <c r="R51" s="104">
        <f t="shared" si="5"/>
        <v>17534418.07</v>
      </c>
      <c r="S51" s="104">
        <f t="shared" si="45"/>
        <v>0</v>
      </c>
      <c r="T51" s="104">
        <f t="shared" si="45"/>
        <v>0</v>
      </c>
      <c r="U51" s="104">
        <f t="shared" si="45"/>
        <v>0</v>
      </c>
      <c r="V51" s="104">
        <f t="shared" si="32"/>
        <v>17010682</v>
      </c>
      <c r="W51" s="104">
        <f t="shared" si="33"/>
        <v>17269642.760000002</v>
      </c>
      <c r="X51" s="104">
        <f t="shared" si="34"/>
        <v>17534418.07</v>
      </c>
    </row>
    <row r="52" spans="1:24">
      <c r="A52" s="11" t="s">
        <v>75</v>
      </c>
      <c r="B52" s="65" t="s">
        <v>42</v>
      </c>
      <c r="C52" s="1" t="s">
        <v>2</v>
      </c>
      <c r="D52" s="1" t="s">
        <v>13</v>
      </c>
      <c r="E52" s="1" t="s">
        <v>17</v>
      </c>
      <c r="F52" s="1" t="s">
        <v>113</v>
      </c>
      <c r="G52" s="1" t="s">
        <v>148</v>
      </c>
      <c r="H52" s="1" t="s">
        <v>151</v>
      </c>
      <c r="I52" s="13" t="s">
        <v>74</v>
      </c>
      <c r="J52" s="104">
        <f>16810682+200000</f>
        <v>17010682</v>
      </c>
      <c r="K52" s="104">
        <f>17069642.76+200000</f>
        <v>17269642.760000002</v>
      </c>
      <c r="L52" s="104">
        <f>17334418.07+200000</f>
        <v>17534418.07</v>
      </c>
      <c r="M52" s="104"/>
      <c r="N52" s="104"/>
      <c r="O52" s="104"/>
      <c r="P52" s="104">
        <f t="shared" si="3"/>
        <v>17010682</v>
      </c>
      <c r="Q52" s="104">
        <f t="shared" si="4"/>
        <v>17269642.760000002</v>
      </c>
      <c r="R52" s="104">
        <f t="shared" si="5"/>
        <v>17534418.07</v>
      </c>
      <c r="S52" s="104"/>
      <c r="T52" s="104"/>
      <c r="U52" s="104"/>
      <c r="V52" s="104">
        <f t="shared" si="32"/>
        <v>17010682</v>
      </c>
      <c r="W52" s="104">
        <f t="shared" si="33"/>
        <v>17269642.760000002</v>
      </c>
      <c r="X52" s="104">
        <f t="shared" si="34"/>
        <v>17534418.07</v>
      </c>
    </row>
    <row r="53" spans="1:24">
      <c r="A53" s="11" t="s">
        <v>456</v>
      </c>
      <c r="B53" s="65" t="s">
        <v>42</v>
      </c>
      <c r="C53" s="1" t="s">
        <v>2</v>
      </c>
      <c r="D53" s="1" t="s">
        <v>13</v>
      </c>
      <c r="E53" s="1" t="s">
        <v>17</v>
      </c>
      <c r="F53" s="1" t="s">
        <v>113</v>
      </c>
      <c r="G53" s="1" t="s">
        <v>148</v>
      </c>
      <c r="H53" s="1" t="s">
        <v>455</v>
      </c>
      <c r="I53" s="13"/>
      <c r="J53" s="104"/>
      <c r="K53" s="104"/>
      <c r="L53" s="104"/>
      <c r="M53" s="104"/>
      <c r="N53" s="104"/>
      <c r="O53" s="104"/>
      <c r="P53" s="104"/>
      <c r="Q53" s="104"/>
      <c r="R53" s="104"/>
      <c r="S53" s="104">
        <f>S54</f>
        <v>45000</v>
      </c>
      <c r="T53" s="104">
        <f t="shared" ref="T53:U54" si="46">T54</f>
        <v>0</v>
      </c>
      <c r="U53" s="104">
        <f t="shared" si="46"/>
        <v>0</v>
      </c>
      <c r="V53" s="104">
        <f t="shared" ref="V53:V55" si="47">P53+S53</f>
        <v>45000</v>
      </c>
      <c r="W53" s="104">
        <f t="shared" ref="W53:W55" si="48">Q53+T53</f>
        <v>0</v>
      </c>
      <c r="X53" s="104">
        <f t="shared" ref="X53:X55" si="49">R53+U53</f>
        <v>0</v>
      </c>
    </row>
    <row r="54" spans="1:24" ht="25.5">
      <c r="A54" s="7" t="s">
        <v>72</v>
      </c>
      <c r="B54" s="65" t="s">
        <v>42</v>
      </c>
      <c r="C54" s="1" t="s">
        <v>2</v>
      </c>
      <c r="D54" s="1" t="s">
        <v>13</v>
      </c>
      <c r="E54" s="1" t="s">
        <v>17</v>
      </c>
      <c r="F54" s="1" t="s">
        <v>113</v>
      </c>
      <c r="G54" s="1" t="s">
        <v>148</v>
      </c>
      <c r="H54" s="1" t="s">
        <v>455</v>
      </c>
      <c r="I54" s="13" t="s">
        <v>71</v>
      </c>
      <c r="J54" s="104"/>
      <c r="K54" s="104"/>
      <c r="L54" s="104"/>
      <c r="M54" s="104"/>
      <c r="N54" s="104"/>
      <c r="O54" s="104"/>
      <c r="P54" s="104"/>
      <c r="Q54" s="104"/>
      <c r="R54" s="104"/>
      <c r="S54" s="104">
        <f>S55</f>
        <v>45000</v>
      </c>
      <c r="T54" s="104">
        <f t="shared" si="46"/>
        <v>0</v>
      </c>
      <c r="U54" s="104">
        <f t="shared" si="46"/>
        <v>0</v>
      </c>
      <c r="V54" s="104">
        <f t="shared" si="47"/>
        <v>45000</v>
      </c>
      <c r="W54" s="104">
        <f t="shared" si="48"/>
        <v>0</v>
      </c>
      <c r="X54" s="104">
        <f t="shared" si="49"/>
        <v>0</v>
      </c>
    </row>
    <row r="55" spans="1:24">
      <c r="A55" s="11" t="s">
        <v>75</v>
      </c>
      <c r="B55" s="65" t="s">
        <v>42</v>
      </c>
      <c r="C55" s="1" t="s">
        <v>2</v>
      </c>
      <c r="D55" s="1" t="s">
        <v>13</v>
      </c>
      <c r="E55" s="1" t="s">
        <v>17</v>
      </c>
      <c r="F55" s="1" t="s">
        <v>113</v>
      </c>
      <c r="G55" s="1" t="s">
        <v>148</v>
      </c>
      <c r="H55" s="1" t="s">
        <v>455</v>
      </c>
      <c r="I55" s="13" t="s">
        <v>74</v>
      </c>
      <c r="J55" s="104"/>
      <c r="K55" s="104"/>
      <c r="L55" s="104"/>
      <c r="M55" s="104"/>
      <c r="N55" s="104"/>
      <c r="O55" s="104"/>
      <c r="P55" s="104"/>
      <c r="Q55" s="104"/>
      <c r="R55" s="104"/>
      <c r="S55" s="104">
        <v>45000</v>
      </c>
      <c r="T55" s="104"/>
      <c r="U55" s="104"/>
      <c r="V55" s="104">
        <f t="shared" si="47"/>
        <v>45000</v>
      </c>
      <c r="W55" s="104">
        <f t="shared" si="48"/>
        <v>0</v>
      </c>
      <c r="X55" s="104">
        <f t="shared" si="49"/>
        <v>0</v>
      </c>
    </row>
    <row r="56" spans="1:24" ht="63.75">
      <c r="A56" s="11" t="s">
        <v>313</v>
      </c>
      <c r="B56" s="65" t="s">
        <v>42</v>
      </c>
      <c r="C56" s="1" t="s">
        <v>2</v>
      </c>
      <c r="D56" s="1" t="s">
        <v>13</v>
      </c>
      <c r="E56" s="1" t="s">
        <v>17</v>
      </c>
      <c r="F56" s="1" t="s">
        <v>113</v>
      </c>
      <c r="G56" s="1" t="s">
        <v>148</v>
      </c>
      <c r="H56" s="1" t="s">
        <v>206</v>
      </c>
      <c r="I56" s="13"/>
      <c r="J56" s="104">
        <f>J57</f>
        <v>140000</v>
      </c>
      <c r="K56" s="104">
        <f t="shared" ref="K56:O57" si="50">K57</f>
        <v>145600</v>
      </c>
      <c r="L56" s="104">
        <f t="shared" si="50"/>
        <v>164528</v>
      </c>
      <c r="M56" s="104">
        <f t="shared" si="50"/>
        <v>0</v>
      </c>
      <c r="N56" s="104">
        <f t="shared" si="50"/>
        <v>0</v>
      </c>
      <c r="O56" s="104">
        <f t="shared" si="50"/>
        <v>0</v>
      </c>
      <c r="P56" s="104">
        <f t="shared" si="3"/>
        <v>140000</v>
      </c>
      <c r="Q56" s="104">
        <f t="shared" si="4"/>
        <v>145600</v>
      </c>
      <c r="R56" s="104">
        <f t="shared" si="5"/>
        <v>164528</v>
      </c>
      <c r="S56" s="104">
        <f t="shared" ref="S56:U57" si="51">S57</f>
        <v>0</v>
      </c>
      <c r="T56" s="104">
        <f t="shared" si="51"/>
        <v>0</v>
      </c>
      <c r="U56" s="104">
        <f t="shared" si="51"/>
        <v>0</v>
      </c>
      <c r="V56" s="104">
        <f t="shared" si="32"/>
        <v>140000</v>
      </c>
      <c r="W56" s="104">
        <f t="shared" si="33"/>
        <v>145600</v>
      </c>
      <c r="X56" s="104">
        <f t="shared" si="34"/>
        <v>164528</v>
      </c>
    </row>
    <row r="57" spans="1:24" ht="25.5">
      <c r="A57" s="7" t="s">
        <v>72</v>
      </c>
      <c r="B57" s="65" t="s">
        <v>42</v>
      </c>
      <c r="C57" s="1" t="s">
        <v>2</v>
      </c>
      <c r="D57" s="1" t="s">
        <v>13</v>
      </c>
      <c r="E57" s="1" t="s">
        <v>17</v>
      </c>
      <c r="F57" s="1" t="s">
        <v>113</v>
      </c>
      <c r="G57" s="1" t="s">
        <v>148</v>
      </c>
      <c r="H57" s="1" t="s">
        <v>206</v>
      </c>
      <c r="I57" s="13" t="s">
        <v>71</v>
      </c>
      <c r="J57" s="104">
        <f>J58</f>
        <v>140000</v>
      </c>
      <c r="K57" s="104">
        <f t="shared" si="50"/>
        <v>145600</v>
      </c>
      <c r="L57" s="104">
        <f t="shared" si="50"/>
        <v>164528</v>
      </c>
      <c r="M57" s="104">
        <f t="shared" si="50"/>
        <v>0</v>
      </c>
      <c r="N57" s="104">
        <f t="shared" si="50"/>
        <v>0</v>
      </c>
      <c r="O57" s="104">
        <f t="shared" si="50"/>
        <v>0</v>
      </c>
      <c r="P57" s="104">
        <f t="shared" si="3"/>
        <v>140000</v>
      </c>
      <c r="Q57" s="104">
        <f t="shared" si="4"/>
        <v>145600</v>
      </c>
      <c r="R57" s="104">
        <f t="shared" si="5"/>
        <v>164528</v>
      </c>
      <c r="S57" s="104">
        <f t="shared" si="51"/>
        <v>0</v>
      </c>
      <c r="T57" s="104">
        <f t="shared" si="51"/>
        <v>0</v>
      </c>
      <c r="U57" s="104">
        <f t="shared" si="51"/>
        <v>0</v>
      </c>
      <c r="V57" s="104">
        <f t="shared" si="32"/>
        <v>140000</v>
      </c>
      <c r="W57" s="104">
        <f t="shared" si="33"/>
        <v>145600</v>
      </c>
      <c r="X57" s="104">
        <f t="shared" si="34"/>
        <v>164528</v>
      </c>
    </row>
    <row r="58" spans="1:24">
      <c r="A58" s="11" t="s">
        <v>75</v>
      </c>
      <c r="B58" s="65" t="s">
        <v>42</v>
      </c>
      <c r="C58" s="1" t="s">
        <v>2</v>
      </c>
      <c r="D58" s="1" t="s">
        <v>13</v>
      </c>
      <c r="E58" s="1" t="s">
        <v>17</v>
      </c>
      <c r="F58" s="1" t="s">
        <v>113</v>
      </c>
      <c r="G58" s="1" t="s">
        <v>148</v>
      </c>
      <c r="H58" s="1" t="s">
        <v>206</v>
      </c>
      <c r="I58" s="13" t="s">
        <v>74</v>
      </c>
      <c r="J58" s="104">
        <v>140000</v>
      </c>
      <c r="K58" s="104">
        <v>145600</v>
      </c>
      <c r="L58" s="104">
        <v>164528</v>
      </c>
      <c r="M58" s="104"/>
      <c r="N58" s="104"/>
      <c r="O58" s="104"/>
      <c r="P58" s="104">
        <f t="shared" si="3"/>
        <v>140000</v>
      </c>
      <c r="Q58" s="104">
        <f t="shared" si="4"/>
        <v>145600</v>
      </c>
      <c r="R58" s="104">
        <f t="shared" si="5"/>
        <v>164528</v>
      </c>
      <c r="S58" s="104"/>
      <c r="T58" s="104"/>
      <c r="U58" s="104"/>
      <c r="V58" s="104">
        <f t="shared" si="32"/>
        <v>140000</v>
      </c>
      <c r="W58" s="104">
        <f t="shared" si="33"/>
        <v>145600</v>
      </c>
      <c r="X58" s="104">
        <f t="shared" si="34"/>
        <v>164528</v>
      </c>
    </row>
    <row r="59" spans="1:24">
      <c r="A59" s="11"/>
      <c r="B59" s="65"/>
      <c r="C59" s="1"/>
      <c r="D59" s="1"/>
      <c r="E59" s="1"/>
      <c r="F59" s="1"/>
      <c r="G59" s="1"/>
      <c r="H59" s="1"/>
      <c r="I59" s="13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</row>
    <row r="60" spans="1:24" ht="15.75" customHeight="1">
      <c r="A60" s="4" t="s">
        <v>199</v>
      </c>
      <c r="B60" s="14" t="s">
        <v>42</v>
      </c>
      <c r="C60" s="14" t="s">
        <v>2</v>
      </c>
      <c r="D60" s="14" t="s">
        <v>2</v>
      </c>
      <c r="E60" s="14"/>
      <c r="F60" s="14"/>
      <c r="G60" s="14"/>
      <c r="H60" s="14"/>
      <c r="I60" s="13"/>
      <c r="J60" s="101">
        <f t="shared" ref="J60:O63" si="52">J61</f>
        <v>182000</v>
      </c>
      <c r="K60" s="101">
        <f t="shared" si="52"/>
        <v>182000</v>
      </c>
      <c r="L60" s="101">
        <f t="shared" si="52"/>
        <v>182000</v>
      </c>
      <c r="M60" s="101">
        <f t="shared" si="52"/>
        <v>0</v>
      </c>
      <c r="N60" s="101">
        <f t="shared" si="52"/>
        <v>0</v>
      </c>
      <c r="O60" s="101">
        <f t="shared" si="52"/>
        <v>0</v>
      </c>
      <c r="P60" s="101">
        <f t="shared" si="3"/>
        <v>182000</v>
      </c>
      <c r="Q60" s="101">
        <f t="shared" si="4"/>
        <v>182000</v>
      </c>
      <c r="R60" s="101">
        <f t="shared" si="5"/>
        <v>182000</v>
      </c>
      <c r="S60" s="101">
        <f t="shared" ref="S60:U63" si="53">S61</f>
        <v>0</v>
      </c>
      <c r="T60" s="101">
        <f t="shared" si="53"/>
        <v>0</v>
      </c>
      <c r="U60" s="101">
        <f t="shared" si="53"/>
        <v>0</v>
      </c>
      <c r="V60" s="101">
        <f t="shared" ref="V60:V64" si="54">P60+S60</f>
        <v>182000</v>
      </c>
      <c r="W60" s="101">
        <f t="shared" ref="W60:W64" si="55">Q60+T60</f>
        <v>182000</v>
      </c>
      <c r="X60" s="101">
        <f t="shared" ref="X60:X64" si="56">R60+U60</f>
        <v>182000</v>
      </c>
    </row>
    <row r="61" spans="1:24" ht="25.5">
      <c r="A61" s="78" t="s">
        <v>283</v>
      </c>
      <c r="B61" s="1" t="s">
        <v>42</v>
      </c>
      <c r="C61" s="1" t="s">
        <v>2</v>
      </c>
      <c r="D61" s="1" t="s">
        <v>2</v>
      </c>
      <c r="E61" s="1" t="s">
        <v>85</v>
      </c>
      <c r="F61" s="1" t="s">
        <v>70</v>
      </c>
      <c r="G61" s="1" t="s">
        <v>148</v>
      </c>
      <c r="H61" s="1" t="s">
        <v>149</v>
      </c>
      <c r="I61" s="13"/>
      <c r="J61" s="81">
        <f>J62</f>
        <v>182000</v>
      </c>
      <c r="K61" s="81">
        <f t="shared" si="52"/>
        <v>182000</v>
      </c>
      <c r="L61" s="81">
        <f t="shared" si="52"/>
        <v>182000</v>
      </c>
      <c r="M61" s="81">
        <f t="shared" si="52"/>
        <v>0</v>
      </c>
      <c r="N61" s="81">
        <f t="shared" si="52"/>
        <v>0</v>
      </c>
      <c r="O61" s="81">
        <f t="shared" si="52"/>
        <v>0</v>
      </c>
      <c r="P61" s="81">
        <f t="shared" si="3"/>
        <v>182000</v>
      </c>
      <c r="Q61" s="81">
        <f t="shared" si="4"/>
        <v>182000</v>
      </c>
      <c r="R61" s="81">
        <f t="shared" si="5"/>
        <v>182000</v>
      </c>
      <c r="S61" s="81">
        <f t="shared" si="53"/>
        <v>0</v>
      </c>
      <c r="T61" s="81">
        <f t="shared" si="53"/>
        <v>0</v>
      </c>
      <c r="U61" s="81">
        <f t="shared" si="53"/>
        <v>0</v>
      </c>
      <c r="V61" s="81">
        <f t="shared" si="54"/>
        <v>182000</v>
      </c>
      <c r="W61" s="81">
        <f t="shared" si="55"/>
        <v>182000</v>
      </c>
      <c r="X61" s="81">
        <f t="shared" si="56"/>
        <v>182000</v>
      </c>
    </row>
    <row r="62" spans="1:24">
      <c r="A62" s="2" t="s">
        <v>122</v>
      </c>
      <c r="B62" s="1" t="s">
        <v>42</v>
      </c>
      <c r="C62" s="1" t="s">
        <v>2</v>
      </c>
      <c r="D62" s="1" t="s">
        <v>2</v>
      </c>
      <c r="E62" s="1" t="s">
        <v>85</v>
      </c>
      <c r="F62" s="1" t="s">
        <v>70</v>
      </c>
      <c r="G62" s="1" t="s">
        <v>148</v>
      </c>
      <c r="H62" s="1" t="s">
        <v>152</v>
      </c>
      <c r="I62" s="13"/>
      <c r="J62" s="81">
        <f t="shared" si="52"/>
        <v>182000</v>
      </c>
      <c r="K62" s="81">
        <f t="shared" si="52"/>
        <v>182000</v>
      </c>
      <c r="L62" s="81">
        <f t="shared" si="52"/>
        <v>182000</v>
      </c>
      <c r="M62" s="81">
        <f t="shared" si="52"/>
        <v>0</v>
      </c>
      <c r="N62" s="81">
        <f t="shared" si="52"/>
        <v>0</v>
      </c>
      <c r="O62" s="81">
        <f t="shared" si="52"/>
        <v>0</v>
      </c>
      <c r="P62" s="81">
        <f t="shared" si="3"/>
        <v>182000</v>
      </c>
      <c r="Q62" s="81">
        <f t="shared" si="4"/>
        <v>182000</v>
      </c>
      <c r="R62" s="81">
        <f t="shared" si="5"/>
        <v>182000</v>
      </c>
      <c r="S62" s="81">
        <f t="shared" si="53"/>
        <v>0</v>
      </c>
      <c r="T62" s="81">
        <f t="shared" si="53"/>
        <v>0</v>
      </c>
      <c r="U62" s="81">
        <f t="shared" si="53"/>
        <v>0</v>
      </c>
      <c r="V62" s="81">
        <f t="shared" si="54"/>
        <v>182000</v>
      </c>
      <c r="W62" s="81">
        <f t="shared" si="55"/>
        <v>182000</v>
      </c>
      <c r="X62" s="81">
        <f t="shared" si="56"/>
        <v>182000</v>
      </c>
    </row>
    <row r="63" spans="1:24" ht="25.5">
      <c r="A63" s="78" t="s">
        <v>260</v>
      </c>
      <c r="B63" s="1" t="s">
        <v>42</v>
      </c>
      <c r="C63" s="1" t="s">
        <v>2</v>
      </c>
      <c r="D63" s="1" t="s">
        <v>2</v>
      </c>
      <c r="E63" s="1" t="s">
        <v>85</v>
      </c>
      <c r="F63" s="1" t="s">
        <v>70</v>
      </c>
      <c r="G63" s="1" t="s">
        <v>148</v>
      </c>
      <c r="H63" s="1" t="s">
        <v>152</v>
      </c>
      <c r="I63" s="13" t="s">
        <v>94</v>
      </c>
      <c r="J63" s="81">
        <f t="shared" si="52"/>
        <v>182000</v>
      </c>
      <c r="K63" s="81">
        <f t="shared" si="52"/>
        <v>182000</v>
      </c>
      <c r="L63" s="81">
        <f t="shared" si="52"/>
        <v>182000</v>
      </c>
      <c r="M63" s="81">
        <f t="shared" si="52"/>
        <v>0</v>
      </c>
      <c r="N63" s="81">
        <f t="shared" si="52"/>
        <v>0</v>
      </c>
      <c r="O63" s="81">
        <f t="shared" si="52"/>
        <v>0</v>
      </c>
      <c r="P63" s="81">
        <f t="shared" si="3"/>
        <v>182000</v>
      </c>
      <c r="Q63" s="81">
        <f t="shared" si="4"/>
        <v>182000</v>
      </c>
      <c r="R63" s="81">
        <f t="shared" si="5"/>
        <v>182000</v>
      </c>
      <c r="S63" s="81">
        <f t="shared" si="53"/>
        <v>0</v>
      </c>
      <c r="T63" s="81">
        <f t="shared" si="53"/>
        <v>0</v>
      </c>
      <c r="U63" s="81">
        <f t="shared" si="53"/>
        <v>0</v>
      </c>
      <c r="V63" s="81">
        <f t="shared" si="54"/>
        <v>182000</v>
      </c>
      <c r="W63" s="81">
        <f t="shared" si="55"/>
        <v>182000</v>
      </c>
      <c r="X63" s="81">
        <f t="shared" si="56"/>
        <v>182000</v>
      </c>
    </row>
    <row r="64" spans="1:24" ht="25.5">
      <c r="A64" s="77" t="s">
        <v>98</v>
      </c>
      <c r="B64" s="1" t="s">
        <v>42</v>
      </c>
      <c r="C64" s="1" t="s">
        <v>2</v>
      </c>
      <c r="D64" s="1" t="s">
        <v>2</v>
      </c>
      <c r="E64" s="1" t="s">
        <v>85</v>
      </c>
      <c r="F64" s="1" t="s">
        <v>70</v>
      </c>
      <c r="G64" s="1" t="s">
        <v>148</v>
      </c>
      <c r="H64" s="1" t="s">
        <v>152</v>
      </c>
      <c r="I64" s="13" t="s">
        <v>95</v>
      </c>
      <c r="J64" s="81">
        <v>182000</v>
      </c>
      <c r="K64" s="81">
        <v>182000</v>
      </c>
      <c r="L64" s="81">
        <v>182000</v>
      </c>
      <c r="M64" s="81"/>
      <c r="N64" s="81"/>
      <c r="O64" s="81"/>
      <c r="P64" s="81">
        <f t="shared" si="3"/>
        <v>182000</v>
      </c>
      <c r="Q64" s="81">
        <f t="shared" si="4"/>
        <v>182000</v>
      </c>
      <c r="R64" s="81">
        <f t="shared" si="5"/>
        <v>182000</v>
      </c>
      <c r="S64" s="81"/>
      <c r="T64" s="81"/>
      <c r="U64" s="81"/>
      <c r="V64" s="81">
        <f t="shared" si="54"/>
        <v>182000</v>
      </c>
      <c r="W64" s="81">
        <f t="shared" si="55"/>
        <v>182000</v>
      </c>
      <c r="X64" s="81">
        <f t="shared" si="56"/>
        <v>182000</v>
      </c>
    </row>
    <row r="65" spans="1:24">
      <c r="A65" s="77"/>
      <c r="B65" s="48"/>
      <c r="C65" s="1"/>
      <c r="D65" s="1"/>
      <c r="E65" s="1"/>
      <c r="F65" s="1"/>
      <c r="G65" s="1"/>
      <c r="H65" s="1"/>
      <c r="I65" s="13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</row>
    <row r="66" spans="1:24" ht="15.75">
      <c r="A66" s="24" t="s">
        <v>53</v>
      </c>
      <c r="B66" s="25" t="s">
        <v>42</v>
      </c>
      <c r="C66" s="29" t="s">
        <v>27</v>
      </c>
      <c r="D66" s="29"/>
      <c r="E66" s="29"/>
      <c r="F66" s="29"/>
      <c r="G66" s="29"/>
      <c r="H66" s="29"/>
      <c r="I66" s="32"/>
      <c r="J66" s="100">
        <f>J67+J142</f>
        <v>114655072.81</v>
      </c>
      <c r="K66" s="100">
        <f>K67+K142</f>
        <v>115006207.56999999</v>
      </c>
      <c r="L66" s="100">
        <f>L67+L142</f>
        <v>115030621.29999998</v>
      </c>
      <c r="M66" s="100">
        <f t="shared" ref="M66:O66" si="57">M67+M142</f>
        <v>5157872.1500000004</v>
      </c>
      <c r="N66" s="100">
        <f t="shared" si="57"/>
        <v>-32430.240000000002</v>
      </c>
      <c r="O66" s="100">
        <f t="shared" si="57"/>
        <v>262382.61</v>
      </c>
      <c r="P66" s="100">
        <f t="shared" si="3"/>
        <v>119812944.96000001</v>
      </c>
      <c r="Q66" s="100">
        <f t="shared" si="4"/>
        <v>114973777.33</v>
      </c>
      <c r="R66" s="100">
        <f t="shared" si="5"/>
        <v>115293003.90999998</v>
      </c>
      <c r="S66" s="100">
        <f t="shared" ref="S66:U66" si="58">S67+S142</f>
        <v>27573410.98</v>
      </c>
      <c r="T66" s="100">
        <f t="shared" si="58"/>
        <v>0</v>
      </c>
      <c r="U66" s="100">
        <f t="shared" si="58"/>
        <v>0</v>
      </c>
      <c r="V66" s="100">
        <f t="shared" ref="V66:V140" si="59">P66+S66</f>
        <v>147386355.94</v>
      </c>
      <c r="W66" s="100">
        <f t="shared" ref="W66:W140" si="60">Q66+T66</f>
        <v>114973777.33</v>
      </c>
      <c r="X66" s="100">
        <f t="shared" ref="X66:X140" si="61">R66+U66</f>
        <v>115293003.90999998</v>
      </c>
    </row>
    <row r="67" spans="1:24">
      <c r="A67" s="4" t="s">
        <v>28</v>
      </c>
      <c r="B67" s="14" t="s">
        <v>42</v>
      </c>
      <c r="C67" s="15" t="s">
        <v>27</v>
      </c>
      <c r="D67" s="15" t="s">
        <v>20</v>
      </c>
      <c r="E67" s="15"/>
      <c r="F67" s="15"/>
      <c r="G67" s="15"/>
      <c r="H67" s="15"/>
      <c r="I67" s="26"/>
      <c r="J67" s="101">
        <f>J68</f>
        <v>101055368.81</v>
      </c>
      <c r="K67" s="101">
        <f t="shared" ref="K67:O67" si="62">K68</f>
        <v>101274216.44</v>
      </c>
      <c r="L67" s="101">
        <f t="shared" si="62"/>
        <v>101235020.25999999</v>
      </c>
      <c r="M67" s="101">
        <f t="shared" si="62"/>
        <v>5157872.1500000004</v>
      </c>
      <c r="N67" s="101">
        <f t="shared" si="62"/>
        <v>-32430.240000000002</v>
      </c>
      <c r="O67" s="101">
        <f t="shared" si="62"/>
        <v>262382.61</v>
      </c>
      <c r="P67" s="101">
        <f t="shared" si="3"/>
        <v>106213240.96000001</v>
      </c>
      <c r="Q67" s="101">
        <f t="shared" si="4"/>
        <v>101241786.2</v>
      </c>
      <c r="R67" s="101">
        <f t="shared" si="5"/>
        <v>101497402.86999999</v>
      </c>
      <c r="S67" s="101">
        <f t="shared" ref="S67:U67" si="63">S68</f>
        <v>27573410.98</v>
      </c>
      <c r="T67" s="101">
        <f t="shared" si="63"/>
        <v>0</v>
      </c>
      <c r="U67" s="101">
        <f t="shared" si="63"/>
        <v>0</v>
      </c>
      <c r="V67" s="101">
        <f t="shared" si="59"/>
        <v>133786651.94000001</v>
      </c>
      <c r="W67" s="101">
        <f t="shared" si="60"/>
        <v>101241786.2</v>
      </c>
      <c r="X67" s="101">
        <f t="shared" si="61"/>
        <v>101497402.86999999</v>
      </c>
    </row>
    <row r="68" spans="1:24" ht="27" customHeight="1">
      <c r="A68" s="2" t="s">
        <v>282</v>
      </c>
      <c r="B68" s="10" t="s">
        <v>42</v>
      </c>
      <c r="C68" s="10" t="s">
        <v>27</v>
      </c>
      <c r="D68" s="10" t="s">
        <v>20</v>
      </c>
      <c r="E68" s="65" t="s">
        <v>17</v>
      </c>
      <c r="F68" s="10" t="s">
        <v>70</v>
      </c>
      <c r="G68" s="10" t="s">
        <v>148</v>
      </c>
      <c r="H68" s="10" t="s">
        <v>149</v>
      </c>
      <c r="I68" s="17"/>
      <c r="J68" s="102">
        <f>J69+J106+J134</f>
        <v>101055368.81</v>
      </c>
      <c r="K68" s="102">
        <f>K69+K106+K134</f>
        <v>101274216.44</v>
      </c>
      <c r="L68" s="102">
        <f>L69+L106+L134</f>
        <v>101235020.25999999</v>
      </c>
      <c r="M68" s="102">
        <f t="shared" ref="M68:O68" si="64">M69+M106+M134</f>
        <v>5157872.1500000004</v>
      </c>
      <c r="N68" s="102">
        <f t="shared" si="64"/>
        <v>-32430.240000000002</v>
      </c>
      <c r="O68" s="102">
        <f t="shared" si="64"/>
        <v>262382.61</v>
      </c>
      <c r="P68" s="102">
        <f t="shared" si="3"/>
        <v>106213240.96000001</v>
      </c>
      <c r="Q68" s="102">
        <f t="shared" si="4"/>
        <v>101241786.2</v>
      </c>
      <c r="R68" s="102">
        <f t="shared" si="5"/>
        <v>101497402.86999999</v>
      </c>
      <c r="S68" s="102">
        <f t="shared" ref="S68:U68" si="65">S69+S106+S134</f>
        <v>27573410.98</v>
      </c>
      <c r="T68" s="102">
        <f t="shared" si="65"/>
        <v>0</v>
      </c>
      <c r="U68" s="102">
        <f t="shared" si="65"/>
        <v>0</v>
      </c>
      <c r="V68" s="102">
        <f t="shared" si="59"/>
        <v>133786651.94000001</v>
      </c>
      <c r="W68" s="102">
        <f t="shared" si="60"/>
        <v>101241786.2</v>
      </c>
      <c r="X68" s="102">
        <f t="shared" si="61"/>
        <v>101497402.86999999</v>
      </c>
    </row>
    <row r="69" spans="1:24" ht="38.25">
      <c r="A69" s="2" t="s">
        <v>136</v>
      </c>
      <c r="B69" s="10" t="s">
        <v>42</v>
      </c>
      <c r="C69" s="10" t="s">
        <v>27</v>
      </c>
      <c r="D69" s="10" t="s">
        <v>20</v>
      </c>
      <c r="E69" s="65" t="s">
        <v>17</v>
      </c>
      <c r="F69" s="10" t="s">
        <v>127</v>
      </c>
      <c r="G69" s="10" t="s">
        <v>148</v>
      </c>
      <c r="H69" s="10" t="s">
        <v>149</v>
      </c>
      <c r="I69" s="17"/>
      <c r="J69" s="102">
        <f>J76+J79+J82+J73+J85+J97+J103</f>
        <v>63445989</v>
      </c>
      <c r="K69" s="102">
        <f t="shared" ref="K69:O69" si="66">K76+K79+K82+K73+K85+K97+K103</f>
        <v>64291111.119999997</v>
      </c>
      <c r="L69" s="102">
        <f t="shared" si="66"/>
        <v>64473880.219999999</v>
      </c>
      <c r="M69" s="102">
        <f t="shared" si="66"/>
        <v>5111111.1100000003</v>
      </c>
      <c r="N69" s="102">
        <f t="shared" si="66"/>
        <v>0</v>
      </c>
      <c r="O69" s="102">
        <f t="shared" si="66"/>
        <v>0</v>
      </c>
      <c r="P69" s="102">
        <f t="shared" si="3"/>
        <v>68557100.109999999</v>
      </c>
      <c r="Q69" s="102">
        <f t="shared" si="4"/>
        <v>64291111.119999997</v>
      </c>
      <c r="R69" s="102">
        <f t="shared" si="5"/>
        <v>64473880.219999999</v>
      </c>
      <c r="S69" s="102">
        <f>S76+S79+S82+S73+S85+S97+S103+S100+S91+S94+S88+S70</f>
        <v>27827419.850000001</v>
      </c>
      <c r="T69" s="102">
        <f t="shared" ref="T69:U69" si="67">T76+T79+T82+T73+T85+T97+T103+T100+T91+T94+T88+T70</f>
        <v>0</v>
      </c>
      <c r="U69" s="102">
        <f t="shared" si="67"/>
        <v>0</v>
      </c>
      <c r="V69" s="102">
        <f t="shared" si="59"/>
        <v>96384519.960000008</v>
      </c>
      <c r="W69" s="102">
        <f t="shared" si="60"/>
        <v>64291111.119999997</v>
      </c>
      <c r="X69" s="102">
        <f t="shared" si="61"/>
        <v>64473880.219999999</v>
      </c>
    </row>
    <row r="70" spans="1:24">
      <c r="A70" s="2" t="s">
        <v>332</v>
      </c>
      <c r="B70" s="10" t="s">
        <v>42</v>
      </c>
      <c r="C70" s="10" t="s">
        <v>27</v>
      </c>
      <c r="D70" s="10" t="s">
        <v>20</v>
      </c>
      <c r="E70" s="65" t="s">
        <v>17</v>
      </c>
      <c r="F70" s="10" t="s">
        <v>127</v>
      </c>
      <c r="G70" s="10" t="s">
        <v>148</v>
      </c>
      <c r="H70" s="59" t="s">
        <v>185</v>
      </c>
      <c r="I70" s="17"/>
      <c r="J70" s="102"/>
      <c r="K70" s="102"/>
      <c r="L70" s="102"/>
      <c r="M70" s="102"/>
      <c r="N70" s="102"/>
      <c r="O70" s="102"/>
      <c r="P70" s="102"/>
      <c r="Q70" s="102"/>
      <c r="R70" s="102"/>
      <c r="S70" s="102">
        <f>S71</f>
        <v>512890</v>
      </c>
      <c r="T70" s="102">
        <f t="shared" ref="T70:U71" si="68">T71</f>
        <v>0</v>
      </c>
      <c r="U70" s="102">
        <f t="shared" si="68"/>
        <v>0</v>
      </c>
      <c r="V70" s="102">
        <f t="shared" ref="V70:V72" si="69">P70+S70</f>
        <v>512890</v>
      </c>
      <c r="W70" s="102">
        <f t="shared" ref="W70:W72" si="70">Q70+T70</f>
        <v>0</v>
      </c>
      <c r="X70" s="102">
        <f t="shared" ref="X70:X72" si="71">R70+U70</f>
        <v>0</v>
      </c>
    </row>
    <row r="71" spans="1:24" ht="25.5">
      <c r="A71" s="7" t="s">
        <v>72</v>
      </c>
      <c r="B71" s="10" t="s">
        <v>42</v>
      </c>
      <c r="C71" s="10" t="s">
        <v>27</v>
      </c>
      <c r="D71" s="10" t="s">
        <v>20</v>
      </c>
      <c r="E71" s="65" t="s">
        <v>17</v>
      </c>
      <c r="F71" s="10" t="s">
        <v>127</v>
      </c>
      <c r="G71" s="10" t="s">
        <v>148</v>
      </c>
      <c r="H71" s="59" t="s">
        <v>185</v>
      </c>
      <c r="I71" s="116" t="s">
        <v>71</v>
      </c>
      <c r="J71" s="102"/>
      <c r="K71" s="102"/>
      <c r="L71" s="102"/>
      <c r="M71" s="102"/>
      <c r="N71" s="102"/>
      <c r="O71" s="102"/>
      <c r="P71" s="102"/>
      <c r="Q71" s="102"/>
      <c r="R71" s="102"/>
      <c r="S71" s="102">
        <f>S72</f>
        <v>512890</v>
      </c>
      <c r="T71" s="102">
        <f t="shared" si="68"/>
        <v>0</v>
      </c>
      <c r="U71" s="102">
        <f t="shared" si="68"/>
        <v>0</v>
      </c>
      <c r="V71" s="102">
        <f t="shared" si="69"/>
        <v>512890</v>
      </c>
      <c r="W71" s="102">
        <f t="shared" si="70"/>
        <v>0</v>
      </c>
      <c r="X71" s="102">
        <f t="shared" si="71"/>
        <v>0</v>
      </c>
    </row>
    <row r="72" spans="1:24">
      <c r="A72" s="11" t="s">
        <v>75</v>
      </c>
      <c r="B72" s="10" t="s">
        <v>42</v>
      </c>
      <c r="C72" s="10" t="s">
        <v>27</v>
      </c>
      <c r="D72" s="10" t="s">
        <v>20</v>
      </c>
      <c r="E72" s="65" t="s">
        <v>17</v>
      </c>
      <c r="F72" s="10" t="s">
        <v>127</v>
      </c>
      <c r="G72" s="10" t="s">
        <v>148</v>
      </c>
      <c r="H72" s="59" t="s">
        <v>185</v>
      </c>
      <c r="I72" s="116" t="s">
        <v>74</v>
      </c>
      <c r="J72" s="102"/>
      <c r="K72" s="102"/>
      <c r="L72" s="102"/>
      <c r="M72" s="102"/>
      <c r="N72" s="102"/>
      <c r="O72" s="102"/>
      <c r="P72" s="102"/>
      <c r="Q72" s="102"/>
      <c r="R72" s="102"/>
      <c r="S72" s="102">
        <f>168000+344890</f>
        <v>512890</v>
      </c>
      <c r="T72" s="102"/>
      <c r="U72" s="102"/>
      <c r="V72" s="102">
        <f t="shared" si="69"/>
        <v>512890</v>
      </c>
      <c r="W72" s="102">
        <f t="shared" si="70"/>
        <v>0</v>
      </c>
      <c r="X72" s="102">
        <f t="shared" si="71"/>
        <v>0</v>
      </c>
    </row>
    <row r="73" spans="1:24" ht="25.5">
      <c r="A73" s="2" t="s">
        <v>377</v>
      </c>
      <c r="B73" s="10" t="s">
        <v>42</v>
      </c>
      <c r="C73" s="10" t="s">
        <v>27</v>
      </c>
      <c r="D73" s="10" t="s">
        <v>20</v>
      </c>
      <c r="E73" s="65" t="s">
        <v>17</v>
      </c>
      <c r="F73" s="10" t="s">
        <v>127</v>
      </c>
      <c r="G73" s="10" t="s">
        <v>148</v>
      </c>
      <c r="H73" s="59" t="s">
        <v>226</v>
      </c>
      <c r="I73" s="17"/>
      <c r="J73" s="102">
        <f>J74</f>
        <v>1410000</v>
      </c>
      <c r="K73" s="102">
        <f t="shared" ref="K73:O74" si="72">K74</f>
        <v>1150000</v>
      </c>
      <c r="L73" s="102">
        <f t="shared" si="72"/>
        <v>500000</v>
      </c>
      <c r="M73" s="102">
        <f t="shared" si="72"/>
        <v>5000000</v>
      </c>
      <c r="N73" s="102">
        <f t="shared" si="72"/>
        <v>0</v>
      </c>
      <c r="O73" s="102">
        <f t="shared" si="72"/>
        <v>0</v>
      </c>
      <c r="P73" s="102">
        <f t="shared" si="3"/>
        <v>6410000</v>
      </c>
      <c r="Q73" s="102">
        <f t="shared" si="4"/>
        <v>1150000</v>
      </c>
      <c r="R73" s="102">
        <f t="shared" si="5"/>
        <v>500000</v>
      </c>
      <c r="S73" s="102">
        <f t="shared" ref="S73:U74" si="73">S74</f>
        <v>1284840</v>
      </c>
      <c r="T73" s="102">
        <f t="shared" si="73"/>
        <v>0</v>
      </c>
      <c r="U73" s="102">
        <f t="shared" si="73"/>
        <v>0</v>
      </c>
      <c r="V73" s="102">
        <f t="shared" si="59"/>
        <v>7694840</v>
      </c>
      <c r="W73" s="102">
        <f t="shared" si="60"/>
        <v>1150000</v>
      </c>
      <c r="X73" s="102">
        <f t="shared" si="61"/>
        <v>500000</v>
      </c>
    </row>
    <row r="74" spans="1:24" ht="25.5">
      <c r="A74" s="7" t="s">
        <v>72</v>
      </c>
      <c r="B74" s="10" t="s">
        <v>42</v>
      </c>
      <c r="C74" s="10" t="s">
        <v>27</v>
      </c>
      <c r="D74" s="10" t="s">
        <v>20</v>
      </c>
      <c r="E74" s="65" t="s">
        <v>17</v>
      </c>
      <c r="F74" s="10" t="s">
        <v>127</v>
      </c>
      <c r="G74" s="10" t="s">
        <v>148</v>
      </c>
      <c r="H74" s="59" t="s">
        <v>226</v>
      </c>
      <c r="I74" s="116" t="s">
        <v>71</v>
      </c>
      <c r="J74" s="102">
        <f>J75</f>
        <v>1410000</v>
      </c>
      <c r="K74" s="102">
        <f t="shared" si="72"/>
        <v>1150000</v>
      </c>
      <c r="L74" s="102">
        <f t="shared" si="72"/>
        <v>500000</v>
      </c>
      <c r="M74" s="102">
        <f t="shared" si="72"/>
        <v>5000000</v>
      </c>
      <c r="N74" s="102">
        <f t="shared" si="72"/>
        <v>0</v>
      </c>
      <c r="O74" s="102">
        <f t="shared" si="72"/>
        <v>0</v>
      </c>
      <c r="P74" s="102">
        <f t="shared" si="3"/>
        <v>6410000</v>
      </c>
      <c r="Q74" s="102">
        <f t="shared" si="4"/>
        <v>1150000</v>
      </c>
      <c r="R74" s="102">
        <f t="shared" si="5"/>
        <v>500000</v>
      </c>
      <c r="S74" s="102">
        <f t="shared" si="73"/>
        <v>1284840</v>
      </c>
      <c r="T74" s="102">
        <f t="shared" si="73"/>
        <v>0</v>
      </c>
      <c r="U74" s="102">
        <f t="shared" si="73"/>
        <v>0</v>
      </c>
      <c r="V74" s="102">
        <f t="shared" si="59"/>
        <v>7694840</v>
      </c>
      <c r="W74" s="102">
        <f t="shared" si="60"/>
        <v>1150000</v>
      </c>
      <c r="X74" s="102">
        <f t="shared" si="61"/>
        <v>500000</v>
      </c>
    </row>
    <row r="75" spans="1:24">
      <c r="A75" s="11" t="s">
        <v>75</v>
      </c>
      <c r="B75" s="10" t="s">
        <v>42</v>
      </c>
      <c r="C75" s="10" t="s">
        <v>27</v>
      </c>
      <c r="D75" s="10" t="s">
        <v>20</v>
      </c>
      <c r="E75" s="65" t="s">
        <v>17</v>
      </c>
      <c r="F75" s="10" t="s">
        <v>127</v>
      </c>
      <c r="G75" s="10" t="s">
        <v>148</v>
      </c>
      <c r="H75" s="59" t="s">
        <v>226</v>
      </c>
      <c r="I75" s="116" t="s">
        <v>74</v>
      </c>
      <c r="J75" s="102">
        <f>1150000+260000</f>
        <v>1410000</v>
      </c>
      <c r="K75" s="102">
        <v>1150000</v>
      </c>
      <c r="L75" s="102">
        <v>500000</v>
      </c>
      <c r="M75" s="102">
        <v>5000000</v>
      </c>
      <c r="N75" s="102"/>
      <c r="O75" s="102"/>
      <c r="P75" s="102">
        <f t="shared" si="3"/>
        <v>6410000</v>
      </c>
      <c r="Q75" s="102">
        <f t="shared" si="4"/>
        <v>1150000</v>
      </c>
      <c r="R75" s="102">
        <f t="shared" si="5"/>
        <v>500000</v>
      </c>
      <c r="S75" s="102">
        <v>1284840</v>
      </c>
      <c r="T75" s="102"/>
      <c r="U75" s="102"/>
      <c r="V75" s="102">
        <f t="shared" si="59"/>
        <v>7694840</v>
      </c>
      <c r="W75" s="102">
        <f t="shared" si="60"/>
        <v>1150000</v>
      </c>
      <c r="X75" s="102">
        <f t="shared" si="61"/>
        <v>500000</v>
      </c>
    </row>
    <row r="76" spans="1:24">
      <c r="A76" s="2" t="s">
        <v>378</v>
      </c>
      <c r="B76" s="10" t="s">
        <v>42</v>
      </c>
      <c r="C76" s="10" t="s">
        <v>27</v>
      </c>
      <c r="D76" s="10" t="s">
        <v>20</v>
      </c>
      <c r="E76" s="65" t="s">
        <v>17</v>
      </c>
      <c r="F76" s="10" t="s">
        <v>127</v>
      </c>
      <c r="G76" s="10" t="s">
        <v>148</v>
      </c>
      <c r="H76" s="10" t="s">
        <v>153</v>
      </c>
      <c r="I76" s="17"/>
      <c r="J76" s="102">
        <f>+J77</f>
        <v>700000</v>
      </c>
      <c r="K76" s="102">
        <f t="shared" ref="K76:O76" si="74">+K77</f>
        <v>700000</v>
      </c>
      <c r="L76" s="102">
        <f t="shared" si="74"/>
        <v>700000</v>
      </c>
      <c r="M76" s="102">
        <f t="shared" si="74"/>
        <v>0</v>
      </c>
      <c r="N76" s="102">
        <f t="shared" si="74"/>
        <v>0</v>
      </c>
      <c r="O76" s="102">
        <f t="shared" si="74"/>
        <v>0</v>
      </c>
      <c r="P76" s="102">
        <f t="shared" si="3"/>
        <v>700000</v>
      </c>
      <c r="Q76" s="102">
        <f t="shared" si="4"/>
        <v>700000</v>
      </c>
      <c r="R76" s="102">
        <f t="shared" si="5"/>
        <v>700000</v>
      </c>
      <c r="S76" s="102">
        <f t="shared" ref="S76:U76" si="75">+S77</f>
        <v>0</v>
      </c>
      <c r="T76" s="102">
        <f t="shared" si="75"/>
        <v>0</v>
      </c>
      <c r="U76" s="102">
        <f t="shared" si="75"/>
        <v>0</v>
      </c>
      <c r="V76" s="102">
        <f t="shared" si="59"/>
        <v>700000</v>
      </c>
      <c r="W76" s="102">
        <f t="shared" si="60"/>
        <v>700000</v>
      </c>
      <c r="X76" s="102">
        <f t="shared" si="61"/>
        <v>700000</v>
      </c>
    </row>
    <row r="77" spans="1:24" ht="25.5">
      <c r="A77" s="7" t="s">
        <v>72</v>
      </c>
      <c r="B77" s="10" t="s">
        <v>42</v>
      </c>
      <c r="C77" s="10" t="s">
        <v>27</v>
      </c>
      <c r="D77" s="10" t="s">
        <v>20</v>
      </c>
      <c r="E77" s="65" t="s">
        <v>17</v>
      </c>
      <c r="F77" s="10" t="s">
        <v>127</v>
      </c>
      <c r="G77" s="10" t="s">
        <v>148</v>
      </c>
      <c r="H77" s="10" t="s">
        <v>153</v>
      </c>
      <c r="I77" s="17" t="s">
        <v>71</v>
      </c>
      <c r="J77" s="102">
        <f>J78</f>
        <v>700000</v>
      </c>
      <c r="K77" s="102">
        <f t="shared" ref="K77:O77" si="76">K78</f>
        <v>700000</v>
      </c>
      <c r="L77" s="102">
        <f t="shared" si="76"/>
        <v>700000</v>
      </c>
      <c r="M77" s="102">
        <f t="shared" si="76"/>
        <v>0</v>
      </c>
      <c r="N77" s="102">
        <f t="shared" si="76"/>
        <v>0</v>
      </c>
      <c r="O77" s="102">
        <f t="shared" si="76"/>
        <v>0</v>
      </c>
      <c r="P77" s="102">
        <f t="shared" si="3"/>
        <v>700000</v>
      </c>
      <c r="Q77" s="102">
        <f t="shared" si="4"/>
        <v>700000</v>
      </c>
      <c r="R77" s="102">
        <f t="shared" si="5"/>
        <v>700000</v>
      </c>
      <c r="S77" s="102">
        <f t="shared" ref="S77:U77" si="77">S78</f>
        <v>0</v>
      </c>
      <c r="T77" s="102">
        <f t="shared" si="77"/>
        <v>0</v>
      </c>
      <c r="U77" s="102">
        <f t="shared" si="77"/>
        <v>0</v>
      </c>
      <c r="V77" s="102">
        <f t="shared" si="59"/>
        <v>700000</v>
      </c>
      <c r="W77" s="102">
        <f t="shared" si="60"/>
        <v>700000</v>
      </c>
      <c r="X77" s="102">
        <f t="shared" si="61"/>
        <v>700000</v>
      </c>
    </row>
    <row r="78" spans="1:24">
      <c r="A78" s="11" t="s">
        <v>75</v>
      </c>
      <c r="B78" s="10" t="s">
        <v>42</v>
      </c>
      <c r="C78" s="10" t="s">
        <v>27</v>
      </c>
      <c r="D78" s="10" t="s">
        <v>20</v>
      </c>
      <c r="E78" s="65" t="s">
        <v>17</v>
      </c>
      <c r="F78" s="10" t="s">
        <v>127</v>
      </c>
      <c r="G78" s="10" t="s">
        <v>148</v>
      </c>
      <c r="H78" s="10" t="s">
        <v>153</v>
      </c>
      <c r="I78" s="17" t="s">
        <v>74</v>
      </c>
      <c r="J78" s="102">
        <v>700000</v>
      </c>
      <c r="K78" s="102">
        <v>700000</v>
      </c>
      <c r="L78" s="102">
        <v>700000</v>
      </c>
      <c r="M78" s="102"/>
      <c r="N78" s="102"/>
      <c r="O78" s="102"/>
      <c r="P78" s="102">
        <f t="shared" si="3"/>
        <v>700000</v>
      </c>
      <c r="Q78" s="102">
        <f t="shared" si="4"/>
        <v>700000</v>
      </c>
      <c r="R78" s="102">
        <f t="shared" si="5"/>
        <v>700000</v>
      </c>
      <c r="S78" s="102"/>
      <c r="T78" s="102"/>
      <c r="U78" s="102"/>
      <c r="V78" s="102">
        <f t="shared" si="59"/>
        <v>700000</v>
      </c>
      <c r="W78" s="102">
        <f t="shared" si="60"/>
        <v>700000</v>
      </c>
      <c r="X78" s="102">
        <f t="shared" si="61"/>
        <v>700000</v>
      </c>
    </row>
    <row r="79" spans="1:24">
      <c r="A79" s="2" t="s">
        <v>379</v>
      </c>
      <c r="B79" s="10" t="s">
        <v>42</v>
      </c>
      <c r="C79" s="10" t="s">
        <v>27</v>
      </c>
      <c r="D79" s="10" t="s">
        <v>20</v>
      </c>
      <c r="E79" s="65" t="s">
        <v>17</v>
      </c>
      <c r="F79" s="10" t="s">
        <v>127</v>
      </c>
      <c r="G79" s="10" t="s">
        <v>148</v>
      </c>
      <c r="H79" s="10" t="s">
        <v>154</v>
      </c>
      <c r="I79" s="17"/>
      <c r="J79" s="102">
        <f>J80</f>
        <v>60166660</v>
      </c>
      <c r="K79" s="102">
        <f t="shared" ref="K79:O80" si="78">K80</f>
        <v>61530611.119999997</v>
      </c>
      <c r="L79" s="102">
        <f t="shared" si="78"/>
        <v>62638980.219999999</v>
      </c>
      <c r="M79" s="102">
        <f t="shared" si="78"/>
        <v>0</v>
      </c>
      <c r="N79" s="102">
        <f t="shared" si="78"/>
        <v>0</v>
      </c>
      <c r="O79" s="102">
        <f t="shared" si="78"/>
        <v>0</v>
      </c>
      <c r="P79" s="102">
        <f t="shared" si="3"/>
        <v>60166660</v>
      </c>
      <c r="Q79" s="102">
        <f t="shared" si="4"/>
        <v>61530611.119999997</v>
      </c>
      <c r="R79" s="102">
        <f t="shared" si="5"/>
        <v>62638980.219999999</v>
      </c>
      <c r="S79" s="102">
        <f t="shared" ref="S79:U80" si="79">S80</f>
        <v>0</v>
      </c>
      <c r="T79" s="102">
        <f t="shared" si="79"/>
        <v>0</v>
      </c>
      <c r="U79" s="102">
        <f t="shared" si="79"/>
        <v>0</v>
      </c>
      <c r="V79" s="102">
        <f t="shared" si="59"/>
        <v>60166660</v>
      </c>
      <c r="W79" s="102">
        <f t="shared" si="60"/>
        <v>61530611.119999997</v>
      </c>
      <c r="X79" s="102">
        <f t="shared" si="61"/>
        <v>62638980.219999999</v>
      </c>
    </row>
    <row r="80" spans="1:24" ht="25.5">
      <c r="A80" s="7" t="s">
        <v>72</v>
      </c>
      <c r="B80" s="10" t="s">
        <v>42</v>
      </c>
      <c r="C80" s="10" t="s">
        <v>27</v>
      </c>
      <c r="D80" s="10" t="s">
        <v>20</v>
      </c>
      <c r="E80" s="65" t="s">
        <v>17</v>
      </c>
      <c r="F80" s="10" t="s">
        <v>127</v>
      </c>
      <c r="G80" s="10" t="s">
        <v>148</v>
      </c>
      <c r="H80" s="10" t="s">
        <v>154</v>
      </c>
      <c r="I80" s="17" t="s">
        <v>71</v>
      </c>
      <c r="J80" s="102">
        <f>J81</f>
        <v>60166660</v>
      </c>
      <c r="K80" s="102">
        <f t="shared" si="78"/>
        <v>61530611.119999997</v>
      </c>
      <c r="L80" s="102">
        <f t="shared" si="78"/>
        <v>62638980.219999999</v>
      </c>
      <c r="M80" s="102">
        <f t="shared" si="78"/>
        <v>0</v>
      </c>
      <c r="N80" s="102">
        <f t="shared" si="78"/>
        <v>0</v>
      </c>
      <c r="O80" s="102">
        <f t="shared" si="78"/>
        <v>0</v>
      </c>
      <c r="P80" s="102">
        <f t="shared" si="3"/>
        <v>60166660</v>
      </c>
      <c r="Q80" s="102">
        <f t="shared" si="4"/>
        <v>61530611.119999997</v>
      </c>
      <c r="R80" s="102">
        <f t="shared" si="5"/>
        <v>62638980.219999999</v>
      </c>
      <c r="S80" s="102">
        <f t="shared" si="79"/>
        <v>0</v>
      </c>
      <c r="T80" s="102">
        <f t="shared" si="79"/>
        <v>0</v>
      </c>
      <c r="U80" s="102">
        <f t="shared" si="79"/>
        <v>0</v>
      </c>
      <c r="V80" s="102">
        <f t="shared" si="59"/>
        <v>60166660</v>
      </c>
      <c r="W80" s="102">
        <f t="shared" si="60"/>
        <v>61530611.119999997</v>
      </c>
      <c r="X80" s="102">
        <f t="shared" si="61"/>
        <v>62638980.219999999</v>
      </c>
    </row>
    <row r="81" spans="1:24">
      <c r="A81" s="11" t="s">
        <v>75</v>
      </c>
      <c r="B81" s="10" t="s">
        <v>42</v>
      </c>
      <c r="C81" s="10" t="s">
        <v>27</v>
      </c>
      <c r="D81" s="10" t="s">
        <v>20</v>
      </c>
      <c r="E81" s="65" t="s">
        <v>17</v>
      </c>
      <c r="F81" s="10" t="s">
        <v>127</v>
      </c>
      <c r="G81" s="10" t="s">
        <v>148</v>
      </c>
      <c r="H81" s="10" t="s">
        <v>154</v>
      </c>
      <c r="I81" s="17" t="s">
        <v>74</v>
      </c>
      <c r="J81" s="102">
        <f>59666660+500000</f>
        <v>60166660</v>
      </c>
      <c r="K81" s="102">
        <f>61030611.12+500000</f>
        <v>61530611.119999997</v>
      </c>
      <c r="L81" s="102">
        <f>62438980.22+200000</f>
        <v>62638980.219999999</v>
      </c>
      <c r="M81" s="102"/>
      <c r="N81" s="102"/>
      <c r="O81" s="102"/>
      <c r="P81" s="102">
        <f t="shared" si="3"/>
        <v>60166660</v>
      </c>
      <c r="Q81" s="102">
        <f t="shared" si="4"/>
        <v>61530611.119999997</v>
      </c>
      <c r="R81" s="102">
        <f t="shared" si="5"/>
        <v>62638980.219999999</v>
      </c>
      <c r="S81" s="102"/>
      <c r="T81" s="102"/>
      <c r="U81" s="102"/>
      <c r="V81" s="102">
        <f t="shared" si="59"/>
        <v>60166660</v>
      </c>
      <c r="W81" s="102">
        <f t="shared" si="60"/>
        <v>61530611.119999997</v>
      </c>
      <c r="X81" s="102">
        <f t="shared" si="61"/>
        <v>62638980.219999999</v>
      </c>
    </row>
    <row r="82" spans="1:24">
      <c r="A82" s="11" t="s">
        <v>380</v>
      </c>
      <c r="B82" s="10" t="s">
        <v>42</v>
      </c>
      <c r="C82" s="10" t="s">
        <v>27</v>
      </c>
      <c r="D82" s="10" t="s">
        <v>20</v>
      </c>
      <c r="E82" s="65" t="s">
        <v>17</v>
      </c>
      <c r="F82" s="10" t="s">
        <v>127</v>
      </c>
      <c r="G82" s="10" t="s">
        <v>148</v>
      </c>
      <c r="H82" s="10" t="s">
        <v>155</v>
      </c>
      <c r="I82" s="17"/>
      <c r="J82" s="102">
        <f>J83</f>
        <v>300000</v>
      </c>
      <c r="K82" s="102">
        <f t="shared" ref="K82:O83" si="80">K83</f>
        <v>300000</v>
      </c>
      <c r="L82" s="102">
        <f t="shared" si="80"/>
        <v>0</v>
      </c>
      <c r="M82" s="102">
        <f t="shared" si="80"/>
        <v>0</v>
      </c>
      <c r="N82" s="102">
        <f t="shared" si="80"/>
        <v>0</v>
      </c>
      <c r="O82" s="102">
        <f t="shared" si="80"/>
        <v>0</v>
      </c>
      <c r="P82" s="102">
        <f t="shared" si="3"/>
        <v>300000</v>
      </c>
      <c r="Q82" s="102">
        <f t="shared" si="4"/>
        <v>300000</v>
      </c>
      <c r="R82" s="102">
        <f t="shared" si="5"/>
        <v>0</v>
      </c>
      <c r="S82" s="102">
        <f t="shared" ref="S82:U83" si="81">S83</f>
        <v>0</v>
      </c>
      <c r="T82" s="102">
        <f t="shared" si="81"/>
        <v>0</v>
      </c>
      <c r="U82" s="102">
        <f t="shared" si="81"/>
        <v>0</v>
      </c>
      <c r="V82" s="102">
        <f t="shared" si="59"/>
        <v>300000</v>
      </c>
      <c r="W82" s="102">
        <f t="shared" si="60"/>
        <v>300000</v>
      </c>
      <c r="X82" s="102">
        <f t="shared" si="61"/>
        <v>0</v>
      </c>
    </row>
    <row r="83" spans="1:24" ht="25.5">
      <c r="A83" s="78" t="s">
        <v>260</v>
      </c>
      <c r="B83" s="10" t="s">
        <v>42</v>
      </c>
      <c r="C83" s="10" t="s">
        <v>27</v>
      </c>
      <c r="D83" s="10" t="s">
        <v>20</v>
      </c>
      <c r="E83" s="65" t="s">
        <v>17</v>
      </c>
      <c r="F83" s="10" t="s">
        <v>127</v>
      </c>
      <c r="G83" s="10" t="s">
        <v>148</v>
      </c>
      <c r="H83" s="10" t="s">
        <v>155</v>
      </c>
      <c r="I83" s="17" t="s">
        <v>94</v>
      </c>
      <c r="J83" s="102">
        <f>J84</f>
        <v>300000</v>
      </c>
      <c r="K83" s="102">
        <f t="shared" si="80"/>
        <v>300000</v>
      </c>
      <c r="L83" s="102">
        <f t="shared" si="80"/>
        <v>0</v>
      </c>
      <c r="M83" s="102">
        <f t="shared" si="80"/>
        <v>0</v>
      </c>
      <c r="N83" s="102">
        <f t="shared" si="80"/>
        <v>0</v>
      </c>
      <c r="O83" s="102">
        <f t="shared" si="80"/>
        <v>0</v>
      </c>
      <c r="P83" s="102">
        <f t="shared" si="3"/>
        <v>300000</v>
      </c>
      <c r="Q83" s="102">
        <f t="shared" si="4"/>
        <v>300000</v>
      </c>
      <c r="R83" s="102">
        <f t="shared" si="5"/>
        <v>0</v>
      </c>
      <c r="S83" s="102">
        <f t="shared" si="81"/>
        <v>0</v>
      </c>
      <c r="T83" s="102">
        <f t="shared" si="81"/>
        <v>0</v>
      </c>
      <c r="U83" s="102">
        <f t="shared" si="81"/>
        <v>0</v>
      </c>
      <c r="V83" s="102">
        <f t="shared" si="59"/>
        <v>300000</v>
      </c>
      <c r="W83" s="102">
        <f t="shared" si="60"/>
        <v>300000</v>
      </c>
      <c r="X83" s="102">
        <f t="shared" si="61"/>
        <v>0</v>
      </c>
    </row>
    <row r="84" spans="1:24" ht="25.5">
      <c r="A84" s="77" t="s">
        <v>98</v>
      </c>
      <c r="B84" s="10" t="s">
        <v>42</v>
      </c>
      <c r="C84" s="10" t="s">
        <v>27</v>
      </c>
      <c r="D84" s="10" t="s">
        <v>20</v>
      </c>
      <c r="E84" s="65" t="s">
        <v>17</v>
      </c>
      <c r="F84" s="10" t="s">
        <v>127</v>
      </c>
      <c r="G84" s="10" t="s">
        <v>148</v>
      </c>
      <c r="H84" s="10" t="s">
        <v>155</v>
      </c>
      <c r="I84" s="17" t="s">
        <v>95</v>
      </c>
      <c r="J84" s="102">
        <v>300000</v>
      </c>
      <c r="K84" s="102">
        <v>300000</v>
      </c>
      <c r="L84" s="102"/>
      <c r="M84" s="102"/>
      <c r="N84" s="102"/>
      <c r="O84" s="102"/>
      <c r="P84" s="102">
        <f t="shared" si="3"/>
        <v>300000</v>
      </c>
      <c r="Q84" s="102">
        <f t="shared" si="4"/>
        <v>300000</v>
      </c>
      <c r="R84" s="102">
        <f t="shared" si="5"/>
        <v>0</v>
      </c>
      <c r="S84" s="102"/>
      <c r="T84" s="102"/>
      <c r="U84" s="102"/>
      <c r="V84" s="102">
        <f t="shared" si="59"/>
        <v>300000</v>
      </c>
      <c r="W84" s="102">
        <f t="shared" si="60"/>
        <v>300000</v>
      </c>
      <c r="X84" s="102">
        <f t="shared" si="61"/>
        <v>0</v>
      </c>
    </row>
    <row r="85" spans="1:24" ht="38.25">
      <c r="A85" s="2" t="s">
        <v>381</v>
      </c>
      <c r="B85" s="10" t="s">
        <v>42</v>
      </c>
      <c r="C85" s="10" t="s">
        <v>27</v>
      </c>
      <c r="D85" s="10" t="s">
        <v>20</v>
      </c>
      <c r="E85" s="65" t="s">
        <v>17</v>
      </c>
      <c r="F85" s="10" t="s">
        <v>127</v>
      </c>
      <c r="G85" s="10" t="s">
        <v>148</v>
      </c>
      <c r="H85" s="10" t="s">
        <v>156</v>
      </c>
      <c r="I85" s="17"/>
      <c r="J85" s="102">
        <f>J86</f>
        <v>619329</v>
      </c>
      <c r="K85" s="102">
        <f t="shared" ref="K85:O86" si="82">K86</f>
        <v>610500</v>
      </c>
      <c r="L85" s="102">
        <f t="shared" si="82"/>
        <v>634900</v>
      </c>
      <c r="M85" s="102">
        <f t="shared" si="82"/>
        <v>0</v>
      </c>
      <c r="N85" s="102">
        <f t="shared" si="82"/>
        <v>0</v>
      </c>
      <c r="O85" s="102">
        <f t="shared" si="82"/>
        <v>0</v>
      </c>
      <c r="P85" s="102">
        <f t="shared" si="3"/>
        <v>619329</v>
      </c>
      <c r="Q85" s="102">
        <f t="shared" si="4"/>
        <v>610500</v>
      </c>
      <c r="R85" s="102">
        <f t="shared" si="5"/>
        <v>634900</v>
      </c>
      <c r="S85" s="102">
        <f t="shared" ref="S85:U86" si="83">S86</f>
        <v>0</v>
      </c>
      <c r="T85" s="102">
        <f t="shared" si="83"/>
        <v>0</v>
      </c>
      <c r="U85" s="102">
        <f t="shared" si="83"/>
        <v>0</v>
      </c>
      <c r="V85" s="102">
        <f t="shared" si="59"/>
        <v>619329</v>
      </c>
      <c r="W85" s="102">
        <f t="shared" si="60"/>
        <v>610500</v>
      </c>
      <c r="X85" s="102">
        <f t="shared" si="61"/>
        <v>634900</v>
      </c>
    </row>
    <row r="86" spans="1:24" ht="25.5">
      <c r="A86" s="7" t="s">
        <v>72</v>
      </c>
      <c r="B86" s="10" t="s">
        <v>42</v>
      </c>
      <c r="C86" s="10" t="s">
        <v>27</v>
      </c>
      <c r="D86" s="10" t="s">
        <v>20</v>
      </c>
      <c r="E86" s="65" t="s">
        <v>17</v>
      </c>
      <c r="F86" s="10" t="s">
        <v>127</v>
      </c>
      <c r="G86" s="10" t="s">
        <v>148</v>
      </c>
      <c r="H86" s="10" t="s">
        <v>156</v>
      </c>
      <c r="I86" s="17" t="s">
        <v>71</v>
      </c>
      <c r="J86" s="102">
        <f>J87</f>
        <v>619329</v>
      </c>
      <c r="K86" s="102">
        <f t="shared" si="82"/>
        <v>610500</v>
      </c>
      <c r="L86" s="102">
        <f t="shared" si="82"/>
        <v>634900</v>
      </c>
      <c r="M86" s="102">
        <f t="shared" si="82"/>
        <v>0</v>
      </c>
      <c r="N86" s="102">
        <f t="shared" si="82"/>
        <v>0</v>
      </c>
      <c r="O86" s="102">
        <f t="shared" si="82"/>
        <v>0</v>
      </c>
      <c r="P86" s="102">
        <f t="shared" si="3"/>
        <v>619329</v>
      </c>
      <c r="Q86" s="102">
        <f t="shared" si="4"/>
        <v>610500</v>
      </c>
      <c r="R86" s="102">
        <f t="shared" si="5"/>
        <v>634900</v>
      </c>
      <c r="S86" s="102">
        <f t="shared" si="83"/>
        <v>0</v>
      </c>
      <c r="T86" s="102">
        <f t="shared" si="83"/>
        <v>0</v>
      </c>
      <c r="U86" s="102">
        <f t="shared" si="83"/>
        <v>0</v>
      </c>
      <c r="V86" s="102">
        <f t="shared" si="59"/>
        <v>619329</v>
      </c>
      <c r="W86" s="102">
        <f t="shared" si="60"/>
        <v>610500</v>
      </c>
      <c r="X86" s="102">
        <f t="shared" si="61"/>
        <v>634900</v>
      </c>
    </row>
    <row r="87" spans="1:24">
      <c r="A87" s="11" t="s">
        <v>75</v>
      </c>
      <c r="B87" s="10" t="s">
        <v>42</v>
      </c>
      <c r="C87" s="10" t="s">
        <v>27</v>
      </c>
      <c r="D87" s="10" t="s">
        <v>20</v>
      </c>
      <c r="E87" s="65" t="s">
        <v>17</v>
      </c>
      <c r="F87" s="10" t="s">
        <v>127</v>
      </c>
      <c r="G87" s="10" t="s">
        <v>148</v>
      </c>
      <c r="H87" s="10" t="s">
        <v>156</v>
      </c>
      <c r="I87" s="17" t="s">
        <v>74</v>
      </c>
      <c r="J87" s="102">
        <v>619329</v>
      </c>
      <c r="K87" s="102">
        <v>610500</v>
      </c>
      <c r="L87" s="102">
        <v>634900</v>
      </c>
      <c r="M87" s="102"/>
      <c r="N87" s="102"/>
      <c r="O87" s="102"/>
      <c r="P87" s="102">
        <f t="shared" si="3"/>
        <v>619329</v>
      </c>
      <c r="Q87" s="102">
        <f t="shared" si="4"/>
        <v>610500</v>
      </c>
      <c r="R87" s="102">
        <f t="shared" si="5"/>
        <v>634900</v>
      </c>
      <c r="S87" s="102"/>
      <c r="T87" s="102"/>
      <c r="U87" s="102"/>
      <c r="V87" s="102">
        <f t="shared" si="59"/>
        <v>619329</v>
      </c>
      <c r="W87" s="102">
        <f t="shared" si="60"/>
        <v>610500</v>
      </c>
      <c r="X87" s="102">
        <f t="shared" si="61"/>
        <v>634900</v>
      </c>
    </row>
    <row r="88" spans="1:24">
      <c r="A88" s="11" t="s">
        <v>240</v>
      </c>
      <c r="B88" s="10" t="s">
        <v>42</v>
      </c>
      <c r="C88" s="10" t="s">
        <v>27</v>
      </c>
      <c r="D88" s="10" t="s">
        <v>20</v>
      </c>
      <c r="E88" s="65" t="s">
        <v>17</v>
      </c>
      <c r="F88" s="10" t="s">
        <v>127</v>
      </c>
      <c r="G88" s="10" t="s">
        <v>148</v>
      </c>
      <c r="H88" s="59" t="s">
        <v>241</v>
      </c>
      <c r="I88" s="17"/>
      <c r="J88" s="102"/>
      <c r="K88" s="102"/>
      <c r="L88" s="102"/>
      <c r="M88" s="102"/>
      <c r="N88" s="102"/>
      <c r="O88" s="102"/>
      <c r="P88" s="102"/>
      <c r="Q88" s="102"/>
      <c r="R88" s="102"/>
      <c r="S88" s="102">
        <f>S89</f>
        <v>650000</v>
      </c>
      <c r="T88" s="102">
        <f t="shared" ref="T88:U89" si="84">T89</f>
        <v>0</v>
      </c>
      <c r="U88" s="102">
        <f t="shared" si="84"/>
        <v>0</v>
      </c>
      <c r="V88" s="102">
        <f t="shared" ref="V88:V90" si="85">P88+S88</f>
        <v>650000</v>
      </c>
      <c r="W88" s="102">
        <f t="shared" ref="W88:W90" si="86">Q88+T88</f>
        <v>0</v>
      </c>
      <c r="X88" s="102">
        <f t="shared" ref="X88:X90" si="87">R88+U88</f>
        <v>0</v>
      </c>
    </row>
    <row r="89" spans="1:24" ht="25.5">
      <c r="A89" s="7" t="s">
        <v>72</v>
      </c>
      <c r="B89" s="10" t="s">
        <v>42</v>
      </c>
      <c r="C89" s="10" t="s">
        <v>27</v>
      </c>
      <c r="D89" s="10" t="s">
        <v>20</v>
      </c>
      <c r="E89" s="65" t="s">
        <v>17</v>
      </c>
      <c r="F89" s="10" t="s">
        <v>127</v>
      </c>
      <c r="G89" s="10" t="s">
        <v>148</v>
      </c>
      <c r="H89" s="59" t="s">
        <v>241</v>
      </c>
      <c r="I89" s="116" t="s">
        <v>71</v>
      </c>
      <c r="J89" s="102"/>
      <c r="K89" s="102"/>
      <c r="L89" s="102"/>
      <c r="M89" s="102"/>
      <c r="N89" s="102"/>
      <c r="O89" s="102"/>
      <c r="P89" s="102"/>
      <c r="Q89" s="102"/>
      <c r="R89" s="102"/>
      <c r="S89" s="102">
        <f>S90</f>
        <v>650000</v>
      </c>
      <c r="T89" s="102">
        <f t="shared" si="84"/>
        <v>0</v>
      </c>
      <c r="U89" s="102">
        <f t="shared" si="84"/>
        <v>0</v>
      </c>
      <c r="V89" s="102">
        <f t="shared" si="85"/>
        <v>650000</v>
      </c>
      <c r="W89" s="102">
        <f t="shared" si="86"/>
        <v>0</v>
      </c>
      <c r="X89" s="102">
        <f t="shared" si="87"/>
        <v>0</v>
      </c>
    </row>
    <row r="90" spans="1:24">
      <c r="A90" s="11" t="s">
        <v>75</v>
      </c>
      <c r="B90" s="10" t="s">
        <v>42</v>
      </c>
      <c r="C90" s="10" t="s">
        <v>27</v>
      </c>
      <c r="D90" s="10" t="s">
        <v>20</v>
      </c>
      <c r="E90" s="65" t="s">
        <v>17</v>
      </c>
      <c r="F90" s="10" t="s">
        <v>127</v>
      </c>
      <c r="G90" s="10" t="s">
        <v>148</v>
      </c>
      <c r="H90" s="59" t="s">
        <v>241</v>
      </c>
      <c r="I90" s="116" t="s">
        <v>74</v>
      </c>
      <c r="J90" s="102"/>
      <c r="K90" s="102"/>
      <c r="L90" s="102"/>
      <c r="M90" s="102"/>
      <c r="N90" s="102"/>
      <c r="O90" s="102"/>
      <c r="P90" s="102"/>
      <c r="Q90" s="102"/>
      <c r="R90" s="102"/>
      <c r="S90" s="102">
        <v>650000</v>
      </c>
      <c r="T90" s="102"/>
      <c r="U90" s="102"/>
      <c r="V90" s="102">
        <f t="shared" si="85"/>
        <v>650000</v>
      </c>
      <c r="W90" s="102">
        <f t="shared" si="86"/>
        <v>0</v>
      </c>
      <c r="X90" s="102">
        <f t="shared" si="87"/>
        <v>0</v>
      </c>
    </row>
    <row r="91" spans="1:24">
      <c r="A91" s="11" t="s">
        <v>441</v>
      </c>
      <c r="B91" s="10" t="s">
        <v>42</v>
      </c>
      <c r="C91" s="10" t="s">
        <v>27</v>
      </c>
      <c r="D91" s="10" t="s">
        <v>20</v>
      </c>
      <c r="E91" s="65" t="s">
        <v>17</v>
      </c>
      <c r="F91" s="10" t="s">
        <v>127</v>
      </c>
      <c r="G91" s="10" t="s">
        <v>148</v>
      </c>
      <c r="H91" s="59" t="s">
        <v>440</v>
      </c>
      <c r="I91" s="17"/>
      <c r="J91" s="102"/>
      <c r="K91" s="102"/>
      <c r="L91" s="102"/>
      <c r="M91" s="102"/>
      <c r="N91" s="102"/>
      <c r="O91" s="102"/>
      <c r="P91" s="102"/>
      <c r="Q91" s="102"/>
      <c r="R91" s="102"/>
      <c r="S91" s="102">
        <f>S92</f>
        <v>20500000</v>
      </c>
      <c r="T91" s="102">
        <f t="shared" ref="T91:U92" si="88">T92</f>
        <v>0</v>
      </c>
      <c r="U91" s="102">
        <f t="shared" si="88"/>
        <v>0</v>
      </c>
      <c r="V91" s="102">
        <f t="shared" ref="V91:V93" si="89">P91+S91</f>
        <v>20500000</v>
      </c>
      <c r="W91" s="102">
        <f t="shared" ref="W91:W93" si="90">Q91+T91</f>
        <v>0</v>
      </c>
      <c r="X91" s="102">
        <f t="shared" ref="X91:X93" si="91">R91+U91</f>
        <v>0</v>
      </c>
    </row>
    <row r="92" spans="1:24" ht="25.5">
      <c r="A92" s="7" t="s">
        <v>72</v>
      </c>
      <c r="B92" s="10" t="s">
        <v>42</v>
      </c>
      <c r="C92" s="10" t="s">
        <v>27</v>
      </c>
      <c r="D92" s="10" t="s">
        <v>20</v>
      </c>
      <c r="E92" s="65" t="s">
        <v>17</v>
      </c>
      <c r="F92" s="10" t="s">
        <v>127</v>
      </c>
      <c r="G92" s="10" t="s">
        <v>148</v>
      </c>
      <c r="H92" s="59" t="s">
        <v>440</v>
      </c>
      <c r="I92" s="116" t="s">
        <v>71</v>
      </c>
      <c r="J92" s="102"/>
      <c r="K92" s="102"/>
      <c r="L92" s="102"/>
      <c r="M92" s="102"/>
      <c r="N92" s="102"/>
      <c r="O92" s="102"/>
      <c r="P92" s="102"/>
      <c r="Q92" s="102"/>
      <c r="R92" s="102"/>
      <c r="S92" s="102">
        <f>S93</f>
        <v>20500000</v>
      </c>
      <c r="T92" s="102">
        <f t="shared" si="88"/>
        <v>0</v>
      </c>
      <c r="U92" s="102">
        <f t="shared" si="88"/>
        <v>0</v>
      </c>
      <c r="V92" s="102">
        <f t="shared" si="89"/>
        <v>20500000</v>
      </c>
      <c r="W92" s="102">
        <f t="shared" si="90"/>
        <v>0</v>
      </c>
      <c r="X92" s="102">
        <f t="shared" si="91"/>
        <v>0</v>
      </c>
    </row>
    <row r="93" spans="1:24">
      <c r="A93" s="11" t="s">
        <v>75</v>
      </c>
      <c r="B93" s="10" t="s">
        <v>42</v>
      </c>
      <c r="C93" s="10" t="s">
        <v>27</v>
      </c>
      <c r="D93" s="10" t="s">
        <v>20</v>
      </c>
      <c r="E93" s="65" t="s">
        <v>17</v>
      </c>
      <c r="F93" s="10" t="s">
        <v>127</v>
      </c>
      <c r="G93" s="10" t="s">
        <v>148</v>
      </c>
      <c r="H93" s="59" t="s">
        <v>440</v>
      </c>
      <c r="I93" s="116" t="s">
        <v>74</v>
      </c>
      <c r="J93" s="102"/>
      <c r="K93" s="102"/>
      <c r="L93" s="102"/>
      <c r="M93" s="102"/>
      <c r="N93" s="102"/>
      <c r="O93" s="102"/>
      <c r="P93" s="102"/>
      <c r="Q93" s="102"/>
      <c r="R93" s="102"/>
      <c r="S93" s="102">
        <v>20500000</v>
      </c>
      <c r="T93" s="102"/>
      <c r="U93" s="102"/>
      <c r="V93" s="102">
        <f t="shared" si="89"/>
        <v>20500000</v>
      </c>
      <c r="W93" s="102">
        <f t="shared" si="90"/>
        <v>0</v>
      </c>
      <c r="X93" s="102">
        <f t="shared" si="91"/>
        <v>0</v>
      </c>
    </row>
    <row r="94" spans="1:24" ht="25.5">
      <c r="A94" s="11" t="s">
        <v>449</v>
      </c>
      <c r="B94" s="10" t="s">
        <v>42</v>
      </c>
      <c r="C94" s="10" t="s">
        <v>27</v>
      </c>
      <c r="D94" s="10" t="s">
        <v>20</v>
      </c>
      <c r="E94" s="65" t="s">
        <v>17</v>
      </c>
      <c r="F94" s="10" t="s">
        <v>127</v>
      </c>
      <c r="G94" s="10" t="s">
        <v>148</v>
      </c>
      <c r="H94" s="59" t="s">
        <v>448</v>
      </c>
      <c r="I94" s="116"/>
      <c r="J94" s="102"/>
      <c r="K94" s="102"/>
      <c r="L94" s="102"/>
      <c r="M94" s="102"/>
      <c r="N94" s="102"/>
      <c r="O94" s="102"/>
      <c r="P94" s="102"/>
      <c r="Q94" s="102"/>
      <c r="R94" s="102"/>
      <c r="S94" s="102">
        <f>S95</f>
        <v>3437500</v>
      </c>
      <c r="T94" s="102">
        <f t="shared" ref="T94:U95" si="92">T95</f>
        <v>0</v>
      </c>
      <c r="U94" s="102">
        <f t="shared" si="92"/>
        <v>0</v>
      </c>
      <c r="V94" s="102">
        <f t="shared" ref="V94:V96" si="93">P94+S94</f>
        <v>3437500</v>
      </c>
      <c r="W94" s="102">
        <f t="shared" ref="W94:W96" si="94">Q94+T94</f>
        <v>0</v>
      </c>
      <c r="X94" s="102">
        <f t="shared" ref="X94:X96" si="95">R94+U94</f>
        <v>0</v>
      </c>
    </row>
    <row r="95" spans="1:24" ht="25.5">
      <c r="A95" s="7" t="s">
        <v>72</v>
      </c>
      <c r="B95" s="10" t="s">
        <v>42</v>
      </c>
      <c r="C95" s="10" t="s">
        <v>27</v>
      </c>
      <c r="D95" s="10" t="s">
        <v>20</v>
      </c>
      <c r="E95" s="65" t="s">
        <v>17</v>
      </c>
      <c r="F95" s="10" t="s">
        <v>127</v>
      </c>
      <c r="G95" s="10" t="s">
        <v>148</v>
      </c>
      <c r="H95" s="59" t="s">
        <v>448</v>
      </c>
      <c r="I95" s="116" t="s">
        <v>71</v>
      </c>
      <c r="J95" s="102"/>
      <c r="K95" s="102"/>
      <c r="L95" s="102"/>
      <c r="M95" s="102"/>
      <c r="N95" s="102"/>
      <c r="O95" s="102"/>
      <c r="P95" s="102"/>
      <c r="Q95" s="102"/>
      <c r="R95" s="102"/>
      <c r="S95" s="102">
        <f>S96</f>
        <v>3437500</v>
      </c>
      <c r="T95" s="102">
        <f t="shared" si="92"/>
        <v>0</v>
      </c>
      <c r="U95" s="102">
        <f t="shared" si="92"/>
        <v>0</v>
      </c>
      <c r="V95" s="102">
        <f t="shared" si="93"/>
        <v>3437500</v>
      </c>
      <c r="W95" s="102">
        <f t="shared" si="94"/>
        <v>0</v>
      </c>
      <c r="X95" s="102">
        <f t="shared" si="95"/>
        <v>0</v>
      </c>
    </row>
    <row r="96" spans="1:24">
      <c r="A96" s="11" t="s">
        <v>75</v>
      </c>
      <c r="B96" s="10" t="s">
        <v>42</v>
      </c>
      <c r="C96" s="10" t="s">
        <v>27</v>
      </c>
      <c r="D96" s="10" t="s">
        <v>20</v>
      </c>
      <c r="E96" s="65" t="s">
        <v>17</v>
      </c>
      <c r="F96" s="10" t="s">
        <v>127</v>
      </c>
      <c r="G96" s="10" t="s">
        <v>148</v>
      </c>
      <c r="H96" s="59" t="s">
        <v>448</v>
      </c>
      <c r="I96" s="116" t="s">
        <v>74</v>
      </c>
      <c r="J96" s="102"/>
      <c r="K96" s="102"/>
      <c r="L96" s="102"/>
      <c r="M96" s="102"/>
      <c r="N96" s="102"/>
      <c r="O96" s="102"/>
      <c r="P96" s="102"/>
      <c r="Q96" s="102"/>
      <c r="R96" s="102"/>
      <c r="S96" s="102">
        <v>3437500</v>
      </c>
      <c r="T96" s="102"/>
      <c r="U96" s="102"/>
      <c r="V96" s="102">
        <f t="shared" si="93"/>
        <v>3437500</v>
      </c>
      <c r="W96" s="102">
        <f t="shared" si="94"/>
        <v>0</v>
      </c>
      <c r="X96" s="102">
        <f t="shared" si="95"/>
        <v>0</v>
      </c>
    </row>
    <row r="97" spans="1:24" ht="25.5">
      <c r="A97" s="11" t="s">
        <v>312</v>
      </c>
      <c r="B97" s="10" t="s">
        <v>42</v>
      </c>
      <c r="C97" s="10" t="s">
        <v>27</v>
      </c>
      <c r="D97" s="10" t="s">
        <v>20</v>
      </c>
      <c r="E97" s="65" t="s">
        <v>17</v>
      </c>
      <c r="F97" s="10" t="s">
        <v>127</v>
      </c>
      <c r="G97" s="10" t="s">
        <v>148</v>
      </c>
      <c r="H97" s="59" t="s">
        <v>311</v>
      </c>
      <c r="I97" s="17"/>
      <c r="J97" s="102">
        <f>J98</f>
        <v>250000</v>
      </c>
      <c r="K97" s="102">
        <f t="shared" ref="K97:O98" si="96">K98</f>
        <v>0</v>
      </c>
      <c r="L97" s="102">
        <f t="shared" si="96"/>
        <v>0</v>
      </c>
      <c r="M97" s="102">
        <f t="shared" si="96"/>
        <v>0</v>
      </c>
      <c r="N97" s="102">
        <f t="shared" si="96"/>
        <v>0</v>
      </c>
      <c r="O97" s="102">
        <f t="shared" si="96"/>
        <v>0</v>
      </c>
      <c r="P97" s="102">
        <f t="shared" si="3"/>
        <v>250000</v>
      </c>
      <c r="Q97" s="102">
        <f t="shared" si="4"/>
        <v>0</v>
      </c>
      <c r="R97" s="102">
        <f t="shared" si="5"/>
        <v>0</v>
      </c>
      <c r="S97" s="102">
        <f t="shared" ref="S97:U98" si="97">S98</f>
        <v>0</v>
      </c>
      <c r="T97" s="102">
        <f t="shared" si="97"/>
        <v>0</v>
      </c>
      <c r="U97" s="102">
        <f t="shared" si="97"/>
        <v>0</v>
      </c>
      <c r="V97" s="102">
        <f t="shared" si="59"/>
        <v>250000</v>
      </c>
      <c r="W97" s="102">
        <f t="shared" si="60"/>
        <v>0</v>
      </c>
      <c r="X97" s="102">
        <f t="shared" si="61"/>
        <v>0</v>
      </c>
    </row>
    <row r="98" spans="1:24" ht="25.5">
      <c r="A98" s="7" t="s">
        <v>72</v>
      </c>
      <c r="B98" s="10" t="s">
        <v>42</v>
      </c>
      <c r="C98" s="10" t="s">
        <v>27</v>
      </c>
      <c r="D98" s="10" t="s">
        <v>20</v>
      </c>
      <c r="E98" s="65" t="s">
        <v>17</v>
      </c>
      <c r="F98" s="10" t="s">
        <v>127</v>
      </c>
      <c r="G98" s="10" t="s">
        <v>148</v>
      </c>
      <c r="H98" s="59" t="s">
        <v>311</v>
      </c>
      <c r="I98" s="116" t="s">
        <v>71</v>
      </c>
      <c r="J98" s="102">
        <f>J99</f>
        <v>250000</v>
      </c>
      <c r="K98" s="102">
        <f t="shared" si="96"/>
        <v>0</v>
      </c>
      <c r="L98" s="102">
        <f t="shared" si="96"/>
        <v>0</v>
      </c>
      <c r="M98" s="102">
        <f t="shared" si="96"/>
        <v>0</v>
      </c>
      <c r="N98" s="102">
        <f t="shared" si="96"/>
        <v>0</v>
      </c>
      <c r="O98" s="102">
        <f t="shared" si="96"/>
        <v>0</v>
      </c>
      <c r="P98" s="102">
        <f t="shared" si="3"/>
        <v>250000</v>
      </c>
      <c r="Q98" s="102">
        <f t="shared" si="4"/>
        <v>0</v>
      </c>
      <c r="R98" s="102">
        <f t="shared" si="5"/>
        <v>0</v>
      </c>
      <c r="S98" s="102">
        <f t="shared" si="97"/>
        <v>0</v>
      </c>
      <c r="T98" s="102">
        <f t="shared" si="97"/>
        <v>0</v>
      </c>
      <c r="U98" s="102">
        <f t="shared" si="97"/>
        <v>0</v>
      </c>
      <c r="V98" s="102">
        <f t="shared" si="59"/>
        <v>250000</v>
      </c>
      <c r="W98" s="102">
        <f t="shared" si="60"/>
        <v>0</v>
      </c>
      <c r="X98" s="102">
        <f t="shared" si="61"/>
        <v>0</v>
      </c>
    </row>
    <row r="99" spans="1:24">
      <c r="A99" s="11" t="s">
        <v>75</v>
      </c>
      <c r="B99" s="10" t="s">
        <v>42</v>
      </c>
      <c r="C99" s="10" t="s">
        <v>27</v>
      </c>
      <c r="D99" s="10" t="s">
        <v>20</v>
      </c>
      <c r="E99" s="65" t="s">
        <v>17</v>
      </c>
      <c r="F99" s="10" t="s">
        <v>127</v>
      </c>
      <c r="G99" s="10" t="s">
        <v>148</v>
      </c>
      <c r="H99" s="59" t="s">
        <v>311</v>
      </c>
      <c r="I99" s="116" t="s">
        <v>74</v>
      </c>
      <c r="J99" s="102">
        <v>250000</v>
      </c>
      <c r="K99" s="102"/>
      <c r="L99" s="102"/>
      <c r="M99" s="102"/>
      <c r="N99" s="102"/>
      <c r="O99" s="102"/>
      <c r="P99" s="102">
        <f t="shared" si="3"/>
        <v>250000</v>
      </c>
      <c r="Q99" s="102">
        <f t="shared" si="4"/>
        <v>0</v>
      </c>
      <c r="R99" s="102">
        <f t="shared" si="5"/>
        <v>0</v>
      </c>
      <c r="S99" s="102"/>
      <c r="T99" s="102"/>
      <c r="U99" s="102"/>
      <c r="V99" s="102">
        <f t="shared" si="59"/>
        <v>250000</v>
      </c>
      <c r="W99" s="102">
        <f t="shared" si="60"/>
        <v>0</v>
      </c>
      <c r="X99" s="102">
        <f t="shared" si="61"/>
        <v>0</v>
      </c>
    </row>
    <row r="100" spans="1:24" ht="38.25">
      <c r="A100" s="11" t="s">
        <v>439</v>
      </c>
      <c r="B100" s="10" t="s">
        <v>42</v>
      </c>
      <c r="C100" s="10" t="s">
        <v>27</v>
      </c>
      <c r="D100" s="10" t="s">
        <v>20</v>
      </c>
      <c r="E100" s="65" t="s">
        <v>17</v>
      </c>
      <c r="F100" s="10" t="s">
        <v>127</v>
      </c>
      <c r="G100" s="10" t="s">
        <v>148</v>
      </c>
      <c r="H100" s="59" t="s">
        <v>438</v>
      </c>
      <c r="I100" s="116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>
        <f>S101</f>
        <v>1410850.8199999998</v>
      </c>
      <c r="T100" s="102">
        <f t="shared" ref="T100:U101" si="98">T101</f>
        <v>0</v>
      </c>
      <c r="U100" s="102">
        <f t="shared" si="98"/>
        <v>0</v>
      </c>
      <c r="V100" s="102">
        <f t="shared" ref="V100:V102" si="99">P100+S100</f>
        <v>1410850.8199999998</v>
      </c>
      <c r="W100" s="102">
        <f t="shared" ref="W100:W102" si="100">Q100+T100</f>
        <v>0</v>
      </c>
      <c r="X100" s="102">
        <f t="shared" ref="X100:X102" si="101">R100+U100</f>
        <v>0</v>
      </c>
    </row>
    <row r="101" spans="1:24" ht="25.5">
      <c r="A101" s="7" t="s">
        <v>72</v>
      </c>
      <c r="B101" s="10" t="s">
        <v>42</v>
      </c>
      <c r="C101" s="10" t="s">
        <v>27</v>
      </c>
      <c r="D101" s="10" t="s">
        <v>20</v>
      </c>
      <c r="E101" s="65" t="s">
        <v>17</v>
      </c>
      <c r="F101" s="10" t="s">
        <v>127</v>
      </c>
      <c r="G101" s="10" t="s">
        <v>148</v>
      </c>
      <c r="H101" s="59" t="s">
        <v>438</v>
      </c>
      <c r="I101" s="116" t="s">
        <v>71</v>
      </c>
      <c r="J101" s="102"/>
      <c r="K101" s="102"/>
      <c r="L101" s="102"/>
      <c r="M101" s="102"/>
      <c r="N101" s="102"/>
      <c r="O101" s="102"/>
      <c r="P101" s="102"/>
      <c r="Q101" s="102"/>
      <c r="R101" s="102"/>
      <c r="S101" s="102">
        <f>S102</f>
        <v>1410850.8199999998</v>
      </c>
      <c r="T101" s="102">
        <f t="shared" si="98"/>
        <v>0</v>
      </c>
      <c r="U101" s="102">
        <f t="shared" si="98"/>
        <v>0</v>
      </c>
      <c r="V101" s="102">
        <f t="shared" si="99"/>
        <v>1410850.8199999998</v>
      </c>
      <c r="W101" s="102">
        <f t="shared" si="100"/>
        <v>0</v>
      </c>
      <c r="X101" s="102">
        <f t="shared" si="101"/>
        <v>0</v>
      </c>
    </row>
    <row r="102" spans="1:24">
      <c r="A102" s="11" t="s">
        <v>75</v>
      </c>
      <c r="B102" s="10" t="s">
        <v>42</v>
      </c>
      <c r="C102" s="10" t="s">
        <v>27</v>
      </c>
      <c r="D102" s="10" t="s">
        <v>20</v>
      </c>
      <c r="E102" s="65" t="s">
        <v>17</v>
      </c>
      <c r="F102" s="10" t="s">
        <v>127</v>
      </c>
      <c r="G102" s="10" t="s">
        <v>148</v>
      </c>
      <c r="H102" s="59" t="s">
        <v>438</v>
      </c>
      <c r="I102" s="116" t="s">
        <v>74</v>
      </c>
      <c r="J102" s="102"/>
      <c r="K102" s="102"/>
      <c r="L102" s="102"/>
      <c r="M102" s="102"/>
      <c r="N102" s="102"/>
      <c r="O102" s="102"/>
      <c r="P102" s="102"/>
      <c r="Q102" s="102"/>
      <c r="R102" s="102"/>
      <c r="S102" s="102">
        <f>1100463.64+310387.18</f>
        <v>1410850.8199999998</v>
      </c>
      <c r="T102" s="102"/>
      <c r="U102" s="102"/>
      <c r="V102" s="102">
        <f t="shared" si="99"/>
        <v>1410850.8199999998</v>
      </c>
      <c r="W102" s="102">
        <f t="shared" si="100"/>
        <v>0</v>
      </c>
      <c r="X102" s="102">
        <f t="shared" si="101"/>
        <v>0</v>
      </c>
    </row>
    <row r="103" spans="1:24">
      <c r="A103" s="11" t="s">
        <v>423</v>
      </c>
      <c r="B103" s="10" t="s">
        <v>42</v>
      </c>
      <c r="C103" s="10" t="s">
        <v>27</v>
      </c>
      <c r="D103" s="10" t="s">
        <v>20</v>
      </c>
      <c r="E103" s="65" t="s">
        <v>17</v>
      </c>
      <c r="F103" s="10" t="s">
        <v>127</v>
      </c>
      <c r="G103" s="59" t="s">
        <v>421</v>
      </c>
      <c r="H103" s="59" t="s">
        <v>422</v>
      </c>
      <c r="I103" s="116"/>
      <c r="J103" s="102">
        <f>J104</f>
        <v>0</v>
      </c>
      <c r="K103" s="102">
        <f t="shared" ref="K103:O104" si="102">K104</f>
        <v>0</v>
      </c>
      <c r="L103" s="102">
        <f t="shared" si="102"/>
        <v>0</v>
      </c>
      <c r="M103" s="102">
        <f t="shared" si="102"/>
        <v>111111.11</v>
      </c>
      <c r="N103" s="102">
        <f t="shared" si="102"/>
        <v>0</v>
      </c>
      <c r="O103" s="102">
        <f t="shared" si="102"/>
        <v>0</v>
      </c>
      <c r="P103" s="102">
        <f t="shared" ref="P103:P104" si="103">J103+M103</f>
        <v>111111.11</v>
      </c>
      <c r="Q103" s="102">
        <f t="shared" ref="Q103:Q104" si="104">K103+N103</f>
        <v>0</v>
      </c>
      <c r="R103" s="102">
        <f t="shared" ref="R103:R104" si="105">L103+O103</f>
        <v>0</v>
      </c>
      <c r="S103" s="102">
        <f t="shared" ref="S103:U104" si="106">S104</f>
        <v>31339.03</v>
      </c>
      <c r="T103" s="102">
        <f t="shared" si="106"/>
        <v>0</v>
      </c>
      <c r="U103" s="102">
        <f t="shared" si="106"/>
        <v>0</v>
      </c>
      <c r="V103" s="102">
        <f t="shared" si="59"/>
        <v>142450.14000000001</v>
      </c>
      <c r="W103" s="102">
        <f t="shared" si="60"/>
        <v>0</v>
      </c>
      <c r="X103" s="102">
        <f t="shared" si="61"/>
        <v>0</v>
      </c>
    </row>
    <row r="104" spans="1:24" ht="25.5">
      <c r="A104" s="7" t="s">
        <v>72</v>
      </c>
      <c r="B104" s="10" t="s">
        <v>42</v>
      </c>
      <c r="C104" s="10" t="s">
        <v>27</v>
      </c>
      <c r="D104" s="10" t="s">
        <v>20</v>
      </c>
      <c r="E104" s="65" t="s">
        <v>17</v>
      </c>
      <c r="F104" s="10" t="s">
        <v>127</v>
      </c>
      <c r="G104" s="59" t="s">
        <v>421</v>
      </c>
      <c r="H104" s="59" t="s">
        <v>422</v>
      </c>
      <c r="I104" s="116" t="s">
        <v>71</v>
      </c>
      <c r="J104" s="102">
        <f>J105</f>
        <v>0</v>
      </c>
      <c r="K104" s="102">
        <f t="shared" si="102"/>
        <v>0</v>
      </c>
      <c r="L104" s="102">
        <f t="shared" si="102"/>
        <v>0</v>
      </c>
      <c r="M104" s="102">
        <f t="shared" si="102"/>
        <v>111111.11</v>
      </c>
      <c r="N104" s="102">
        <f t="shared" si="102"/>
        <v>0</v>
      </c>
      <c r="O104" s="102">
        <f t="shared" si="102"/>
        <v>0</v>
      </c>
      <c r="P104" s="102">
        <f t="shared" si="103"/>
        <v>111111.11</v>
      </c>
      <c r="Q104" s="102">
        <f t="shared" si="104"/>
        <v>0</v>
      </c>
      <c r="R104" s="102">
        <f t="shared" si="105"/>
        <v>0</v>
      </c>
      <c r="S104" s="102">
        <f t="shared" si="106"/>
        <v>31339.03</v>
      </c>
      <c r="T104" s="102">
        <f t="shared" si="106"/>
        <v>0</v>
      </c>
      <c r="U104" s="102">
        <f t="shared" si="106"/>
        <v>0</v>
      </c>
      <c r="V104" s="102">
        <f t="shared" si="59"/>
        <v>142450.14000000001</v>
      </c>
      <c r="W104" s="102">
        <f t="shared" si="60"/>
        <v>0</v>
      </c>
      <c r="X104" s="102">
        <f t="shared" si="61"/>
        <v>0</v>
      </c>
    </row>
    <row r="105" spans="1:24">
      <c r="A105" s="11" t="s">
        <v>75</v>
      </c>
      <c r="B105" s="10" t="s">
        <v>42</v>
      </c>
      <c r="C105" s="10" t="s">
        <v>27</v>
      </c>
      <c r="D105" s="10" t="s">
        <v>20</v>
      </c>
      <c r="E105" s="65" t="s">
        <v>17</v>
      </c>
      <c r="F105" s="10" t="s">
        <v>127</v>
      </c>
      <c r="G105" s="59" t="s">
        <v>421</v>
      </c>
      <c r="H105" s="59" t="s">
        <v>422</v>
      </c>
      <c r="I105" s="116" t="s">
        <v>74</v>
      </c>
      <c r="J105" s="102"/>
      <c r="K105" s="102"/>
      <c r="L105" s="102"/>
      <c r="M105" s="102">
        <v>111111.11</v>
      </c>
      <c r="N105" s="102"/>
      <c r="O105" s="102"/>
      <c r="P105" s="102">
        <f t="shared" ref="P105" si="107">J105+M105</f>
        <v>111111.11</v>
      </c>
      <c r="Q105" s="102">
        <f t="shared" ref="Q105" si="108">K105+N105</f>
        <v>0</v>
      </c>
      <c r="R105" s="102">
        <f t="shared" ref="R105" si="109">L105+O105</f>
        <v>0</v>
      </c>
      <c r="S105" s="102">
        <v>31339.03</v>
      </c>
      <c r="T105" s="102"/>
      <c r="U105" s="102"/>
      <c r="V105" s="102">
        <f t="shared" si="59"/>
        <v>142450.14000000001</v>
      </c>
      <c r="W105" s="102">
        <f t="shared" si="60"/>
        <v>0</v>
      </c>
      <c r="X105" s="102">
        <f t="shared" si="61"/>
        <v>0</v>
      </c>
    </row>
    <row r="106" spans="1:24" ht="25.5">
      <c r="A106" s="2" t="s">
        <v>135</v>
      </c>
      <c r="B106" s="10" t="s">
        <v>42</v>
      </c>
      <c r="C106" s="10" t="s">
        <v>27</v>
      </c>
      <c r="D106" s="10" t="s">
        <v>20</v>
      </c>
      <c r="E106" s="65" t="s">
        <v>17</v>
      </c>
      <c r="F106" s="10" t="s">
        <v>134</v>
      </c>
      <c r="G106" s="10" t="s">
        <v>148</v>
      </c>
      <c r="H106" s="10" t="s">
        <v>149</v>
      </c>
      <c r="I106" s="17"/>
      <c r="J106" s="102">
        <f>J116+J113+J110+J119+J131+J125+J128</f>
        <v>32993690.810000002</v>
      </c>
      <c r="K106" s="102">
        <f>K116+K113+K110+K119+K131+K125+K128</f>
        <v>32313712.100000001</v>
      </c>
      <c r="L106" s="102">
        <f>L116+L113+L110+L119+L131+L125+L128</f>
        <v>32029329.300000001</v>
      </c>
      <c r="M106" s="102">
        <f t="shared" ref="M106:O106" si="110">M116+M113+M110+M119+M131+M125+M128</f>
        <v>46761.040000000008</v>
      </c>
      <c r="N106" s="102">
        <f t="shared" si="110"/>
        <v>-32430.240000000002</v>
      </c>
      <c r="O106" s="102">
        <f t="shared" si="110"/>
        <v>262382.61</v>
      </c>
      <c r="P106" s="102">
        <f t="shared" si="3"/>
        <v>33040451.850000001</v>
      </c>
      <c r="Q106" s="102">
        <f t="shared" si="4"/>
        <v>32281281.860000003</v>
      </c>
      <c r="R106" s="102">
        <f t="shared" si="5"/>
        <v>32291711.91</v>
      </c>
      <c r="S106" s="102">
        <f>S116+S113+S110+S119+S131+S125+S128+S122+S107</f>
        <v>-254008.86999999988</v>
      </c>
      <c r="T106" s="102">
        <f t="shared" ref="T106:U106" si="111">T116+T113+T110+T119+T131+T125+T128+T122+T107</f>
        <v>0</v>
      </c>
      <c r="U106" s="102">
        <f t="shared" si="111"/>
        <v>0</v>
      </c>
      <c r="V106" s="102">
        <f t="shared" si="59"/>
        <v>32786442.98</v>
      </c>
      <c r="W106" s="102">
        <f t="shared" si="60"/>
        <v>32281281.860000003</v>
      </c>
      <c r="X106" s="102">
        <f t="shared" si="61"/>
        <v>32291711.91</v>
      </c>
    </row>
    <row r="107" spans="1:24">
      <c r="A107" s="2" t="s">
        <v>332</v>
      </c>
      <c r="B107" s="10" t="s">
        <v>42</v>
      </c>
      <c r="C107" s="10" t="s">
        <v>27</v>
      </c>
      <c r="D107" s="10" t="s">
        <v>20</v>
      </c>
      <c r="E107" s="65" t="s">
        <v>17</v>
      </c>
      <c r="F107" s="10" t="s">
        <v>134</v>
      </c>
      <c r="G107" s="10" t="s">
        <v>148</v>
      </c>
      <c r="H107" s="59" t="s">
        <v>185</v>
      </c>
      <c r="I107" s="17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>
        <f>S108</f>
        <v>43200</v>
      </c>
      <c r="T107" s="102">
        <f t="shared" ref="T107:U108" si="112">T108</f>
        <v>0</v>
      </c>
      <c r="U107" s="102">
        <f t="shared" si="112"/>
        <v>0</v>
      </c>
      <c r="V107" s="102">
        <f t="shared" ref="V107:V109" si="113">P107+S107</f>
        <v>43200</v>
      </c>
      <c r="W107" s="102">
        <f t="shared" ref="W107:W109" si="114">Q107+T107</f>
        <v>0</v>
      </c>
      <c r="X107" s="102">
        <f t="shared" ref="X107:X109" si="115">R107+U107</f>
        <v>0</v>
      </c>
    </row>
    <row r="108" spans="1:24" ht="25.5">
      <c r="A108" s="7" t="s">
        <v>72</v>
      </c>
      <c r="B108" s="10" t="s">
        <v>42</v>
      </c>
      <c r="C108" s="10" t="s">
        <v>27</v>
      </c>
      <c r="D108" s="10" t="s">
        <v>20</v>
      </c>
      <c r="E108" s="65" t="s">
        <v>17</v>
      </c>
      <c r="F108" s="10" t="s">
        <v>134</v>
      </c>
      <c r="G108" s="10" t="s">
        <v>148</v>
      </c>
      <c r="H108" s="59" t="s">
        <v>185</v>
      </c>
      <c r="I108" s="116" t="s">
        <v>71</v>
      </c>
      <c r="J108" s="102"/>
      <c r="K108" s="102"/>
      <c r="L108" s="102"/>
      <c r="M108" s="102"/>
      <c r="N108" s="102"/>
      <c r="O108" s="102"/>
      <c r="P108" s="102"/>
      <c r="Q108" s="102"/>
      <c r="R108" s="102"/>
      <c r="S108" s="102">
        <f>S109</f>
        <v>43200</v>
      </c>
      <c r="T108" s="102">
        <f t="shared" si="112"/>
        <v>0</v>
      </c>
      <c r="U108" s="102">
        <f t="shared" si="112"/>
        <v>0</v>
      </c>
      <c r="V108" s="102">
        <f t="shared" si="113"/>
        <v>43200</v>
      </c>
      <c r="W108" s="102">
        <f t="shared" si="114"/>
        <v>0</v>
      </c>
      <c r="X108" s="102">
        <f t="shared" si="115"/>
        <v>0</v>
      </c>
    </row>
    <row r="109" spans="1:24">
      <c r="A109" s="11" t="s">
        <v>75</v>
      </c>
      <c r="B109" s="10" t="s">
        <v>42</v>
      </c>
      <c r="C109" s="10" t="s">
        <v>27</v>
      </c>
      <c r="D109" s="10" t="s">
        <v>20</v>
      </c>
      <c r="E109" s="65" t="s">
        <v>17</v>
      </c>
      <c r="F109" s="10" t="s">
        <v>134</v>
      </c>
      <c r="G109" s="10" t="s">
        <v>148</v>
      </c>
      <c r="H109" s="59" t="s">
        <v>185</v>
      </c>
      <c r="I109" s="116" t="s">
        <v>74</v>
      </c>
      <c r="J109" s="102"/>
      <c r="K109" s="102"/>
      <c r="L109" s="102"/>
      <c r="M109" s="102"/>
      <c r="N109" s="102"/>
      <c r="O109" s="102"/>
      <c r="P109" s="102"/>
      <c r="Q109" s="102"/>
      <c r="R109" s="102"/>
      <c r="S109" s="102">
        <v>43200</v>
      </c>
      <c r="T109" s="102"/>
      <c r="U109" s="102"/>
      <c r="V109" s="102">
        <f t="shared" si="113"/>
        <v>43200</v>
      </c>
      <c r="W109" s="102">
        <f t="shared" si="114"/>
        <v>0</v>
      </c>
      <c r="X109" s="102">
        <f t="shared" si="115"/>
        <v>0</v>
      </c>
    </row>
    <row r="110" spans="1:24" ht="25.5">
      <c r="A110" s="2" t="s">
        <v>377</v>
      </c>
      <c r="B110" s="10" t="s">
        <v>42</v>
      </c>
      <c r="C110" s="10" t="s">
        <v>27</v>
      </c>
      <c r="D110" s="10" t="s">
        <v>20</v>
      </c>
      <c r="E110" s="65" t="s">
        <v>17</v>
      </c>
      <c r="F110" s="10" t="s">
        <v>134</v>
      </c>
      <c r="G110" s="10" t="s">
        <v>148</v>
      </c>
      <c r="H110" s="59" t="s">
        <v>226</v>
      </c>
      <c r="I110" s="17"/>
      <c r="J110" s="102">
        <f>J111</f>
        <v>1100000</v>
      </c>
      <c r="K110" s="102">
        <f t="shared" ref="K110:O111" si="116">K111</f>
        <v>0</v>
      </c>
      <c r="L110" s="102">
        <f t="shared" si="116"/>
        <v>0</v>
      </c>
      <c r="M110" s="102">
        <f t="shared" si="116"/>
        <v>0</v>
      </c>
      <c r="N110" s="102">
        <f t="shared" si="116"/>
        <v>0</v>
      </c>
      <c r="O110" s="102">
        <f t="shared" si="116"/>
        <v>0</v>
      </c>
      <c r="P110" s="102">
        <f t="shared" si="3"/>
        <v>1100000</v>
      </c>
      <c r="Q110" s="102">
        <f t="shared" si="4"/>
        <v>0</v>
      </c>
      <c r="R110" s="102">
        <f t="shared" si="5"/>
        <v>0</v>
      </c>
      <c r="S110" s="102">
        <f t="shared" ref="S110:U111" si="117">S111</f>
        <v>-1060000</v>
      </c>
      <c r="T110" s="102">
        <f t="shared" si="117"/>
        <v>0</v>
      </c>
      <c r="U110" s="102">
        <f t="shared" si="117"/>
        <v>0</v>
      </c>
      <c r="V110" s="102">
        <f t="shared" si="59"/>
        <v>40000</v>
      </c>
      <c r="W110" s="102">
        <f t="shared" si="60"/>
        <v>0</v>
      </c>
      <c r="X110" s="102">
        <f t="shared" si="61"/>
        <v>0</v>
      </c>
    </row>
    <row r="111" spans="1:24" ht="25.5">
      <c r="A111" s="7" t="s">
        <v>72</v>
      </c>
      <c r="B111" s="10" t="s">
        <v>42</v>
      </c>
      <c r="C111" s="10" t="s">
        <v>27</v>
      </c>
      <c r="D111" s="10" t="s">
        <v>20</v>
      </c>
      <c r="E111" s="65" t="s">
        <v>17</v>
      </c>
      <c r="F111" s="10" t="s">
        <v>134</v>
      </c>
      <c r="G111" s="10" t="s">
        <v>148</v>
      </c>
      <c r="H111" s="59" t="s">
        <v>226</v>
      </c>
      <c r="I111" s="116" t="s">
        <v>71</v>
      </c>
      <c r="J111" s="102">
        <f>J112</f>
        <v>1100000</v>
      </c>
      <c r="K111" s="102">
        <f t="shared" si="116"/>
        <v>0</v>
      </c>
      <c r="L111" s="102">
        <f t="shared" si="116"/>
        <v>0</v>
      </c>
      <c r="M111" s="102">
        <f t="shared" si="116"/>
        <v>0</v>
      </c>
      <c r="N111" s="102">
        <f t="shared" si="116"/>
        <v>0</v>
      </c>
      <c r="O111" s="102">
        <f t="shared" si="116"/>
        <v>0</v>
      </c>
      <c r="P111" s="102">
        <f t="shared" si="3"/>
        <v>1100000</v>
      </c>
      <c r="Q111" s="102">
        <f t="shared" si="4"/>
        <v>0</v>
      </c>
      <c r="R111" s="102">
        <f t="shared" si="5"/>
        <v>0</v>
      </c>
      <c r="S111" s="102">
        <f t="shared" si="117"/>
        <v>-1060000</v>
      </c>
      <c r="T111" s="102">
        <f t="shared" si="117"/>
        <v>0</v>
      </c>
      <c r="U111" s="102">
        <f t="shared" si="117"/>
        <v>0</v>
      </c>
      <c r="V111" s="102">
        <f t="shared" si="59"/>
        <v>40000</v>
      </c>
      <c r="W111" s="102">
        <f t="shared" si="60"/>
        <v>0</v>
      </c>
      <c r="X111" s="102">
        <f t="shared" si="61"/>
        <v>0</v>
      </c>
    </row>
    <row r="112" spans="1:24">
      <c r="A112" s="11" t="s">
        <v>75</v>
      </c>
      <c r="B112" s="10" t="s">
        <v>42</v>
      </c>
      <c r="C112" s="10" t="s">
        <v>27</v>
      </c>
      <c r="D112" s="10" t="s">
        <v>20</v>
      </c>
      <c r="E112" s="65" t="s">
        <v>17</v>
      </c>
      <c r="F112" s="10" t="s">
        <v>134</v>
      </c>
      <c r="G112" s="10" t="s">
        <v>148</v>
      </c>
      <c r="H112" s="59" t="s">
        <v>226</v>
      </c>
      <c r="I112" s="116" t="s">
        <v>74</v>
      </c>
      <c r="J112" s="102">
        <v>1100000</v>
      </c>
      <c r="K112" s="102"/>
      <c r="L112" s="102"/>
      <c r="M112" s="102"/>
      <c r="N112" s="102"/>
      <c r="O112" s="102"/>
      <c r="P112" s="102">
        <f t="shared" si="3"/>
        <v>1100000</v>
      </c>
      <c r="Q112" s="102">
        <f t="shared" si="4"/>
        <v>0</v>
      </c>
      <c r="R112" s="102">
        <f t="shared" si="5"/>
        <v>0</v>
      </c>
      <c r="S112" s="102">
        <v>-1060000</v>
      </c>
      <c r="T112" s="102"/>
      <c r="U112" s="102"/>
      <c r="V112" s="102">
        <f t="shared" si="59"/>
        <v>40000</v>
      </c>
      <c r="W112" s="102">
        <f t="shared" si="60"/>
        <v>0</v>
      </c>
      <c r="X112" s="102">
        <f t="shared" si="61"/>
        <v>0</v>
      </c>
    </row>
    <row r="113" spans="1:24">
      <c r="A113" s="2" t="s">
        <v>86</v>
      </c>
      <c r="B113" s="10" t="s">
        <v>42</v>
      </c>
      <c r="C113" s="10" t="s">
        <v>27</v>
      </c>
      <c r="D113" s="10" t="s">
        <v>20</v>
      </c>
      <c r="E113" s="65" t="s">
        <v>17</v>
      </c>
      <c r="F113" s="10" t="s">
        <v>134</v>
      </c>
      <c r="G113" s="10" t="s">
        <v>148</v>
      </c>
      <c r="H113" s="10" t="s">
        <v>157</v>
      </c>
      <c r="I113" s="17"/>
      <c r="J113" s="102">
        <f>J114</f>
        <v>30893146</v>
      </c>
      <c r="K113" s="102">
        <f t="shared" ref="K113:O114" si="118">K114</f>
        <v>31343649.16</v>
      </c>
      <c r="L113" s="102">
        <f t="shared" si="118"/>
        <v>31404445.41</v>
      </c>
      <c r="M113" s="102">
        <f t="shared" si="118"/>
        <v>0</v>
      </c>
      <c r="N113" s="102">
        <f t="shared" si="118"/>
        <v>0</v>
      </c>
      <c r="O113" s="102">
        <f t="shared" si="118"/>
        <v>0</v>
      </c>
      <c r="P113" s="102">
        <f t="shared" ref="P113:P185" si="119">J113+M113</f>
        <v>30893146</v>
      </c>
      <c r="Q113" s="102">
        <f t="shared" ref="Q113:Q185" si="120">K113+N113</f>
        <v>31343649.16</v>
      </c>
      <c r="R113" s="102">
        <f t="shared" ref="R113:R185" si="121">L113+O113</f>
        <v>31404445.41</v>
      </c>
      <c r="S113" s="102">
        <f t="shared" ref="S113:U114" si="122">S114</f>
        <v>0</v>
      </c>
      <c r="T113" s="102">
        <f t="shared" si="122"/>
        <v>0</v>
      </c>
      <c r="U113" s="102">
        <f t="shared" si="122"/>
        <v>0</v>
      </c>
      <c r="V113" s="102">
        <f t="shared" si="59"/>
        <v>30893146</v>
      </c>
      <c r="W113" s="102">
        <f t="shared" si="60"/>
        <v>31343649.16</v>
      </c>
      <c r="X113" s="102">
        <f t="shared" si="61"/>
        <v>31404445.41</v>
      </c>
    </row>
    <row r="114" spans="1:24" ht="25.5">
      <c r="A114" s="7" t="s">
        <v>72</v>
      </c>
      <c r="B114" s="10" t="s">
        <v>42</v>
      </c>
      <c r="C114" s="10" t="s">
        <v>27</v>
      </c>
      <c r="D114" s="10" t="s">
        <v>20</v>
      </c>
      <c r="E114" s="65" t="s">
        <v>17</v>
      </c>
      <c r="F114" s="10" t="s">
        <v>134</v>
      </c>
      <c r="G114" s="10" t="s">
        <v>148</v>
      </c>
      <c r="H114" s="10" t="s">
        <v>157</v>
      </c>
      <c r="I114" s="17" t="s">
        <v>71</v>
      </c>
      <c r="J114" s="102">
        <f>J115</f>
        <v>30893146</v>
      </c>
      <c r="K114" s="102">
        <f t="shared" si="118"/>
        <v>31343649.16</v>
      </c>
      <c r="L114" s="102">
        <f t="shared" si="118"/>
        <v>31404445.41</v>
      </c>
      <c r="M114" s="102">
        <f t="shared" si="118"/>
        <v>0</v>
      </c>
      <c r="N114" s="102">
        <f t="shared" si="118"/>
        <v>0</v>
      </c>
      <c r="O114" s="102">
        <f t="shared" si="118"/>
        <v>0</v>
      </c>
      <c r="P114" s="102">
        <f t="shared" si="119"/>
        <v>30893146</v>
      </c>
      <c r="Q114" s="102">
        <f t="shared" si="120"/>
        <v>31343649.16</v>
      </c>
      <c r="R114" s="102">
        <f t="shared" si="121"/>
        <v>31404445.41</v>
      </c>
      <c r="S114" s="102">
        <f t="shared" si="122"/>
        <v>0</v>
      </c>
      <c r="T114" s="102">
        <f t="shared" si="122"/>
        <v>0</v>
      </c>
      <c r="U114" s="102">
        <f t="shared" si="122"/>
        <v>0</v>
      </c>
      <c r="V114" s="102">
        <f t="shared" si="59"/>
        <v>30893146</v>
      </c>
      <c r="W114" s="102">
        <f t="shared" si="60"/>
        <v>31343649.16</v>
      </c>
      <c r="X114" s="102">
        <f t="shared" si="61"/>
        <v>31404445.41</v>
      </c>
    </row>
    <row r="115" spans="1:24">
      <c r="A115" s="11" t="s">
        <v>75</v>
      </c>
      <c r="B115" s="10" t="s">
        <v>42</v>
      </c>
      <c r="C115" s="10" t="s">
        <v>27</v>
      </c>
      <c r="D115" s="10" t="s">
        <v>20</v>
      </c>
      <c r="E115" s="65" t="s">
        <v>17</v>
      </c>
      <c r="F115" s="10" t="s">
        <v>134</v>
      </c>
      <c r="G115" s="10" t="s">
        <v>148</v>
      </c>
      <c r="H115" s="10" t="s">
        <v>157</v>
      </c>
      <c r="I115" s="17" t="s">
        <v>74</v>
      </c>
      <c r="J115" s="102">
        <f>30493146+400000</f>
        <v>30893146</v>
      </c>
      <c r="K115" s="102">
        <f>30943649.16+400000</f>
        <v>31343649.16</v>
      </c>
      <c r="L115" s="102">
        <f>31204445.41+200000</f>
        <v>31404445.41</v>
      </c>
      <c r="M115" s="102"/>
      <c r="N115" s="102"/>
      <c r="O115" s="102"/>
      <c r="P115" s="102">
        <f t="shared" si="119"/>
        <v>30893146</v>
      </c>
      <c r="Q115" s="102">
        <f t="shared" si="120"/>
        <v>31343649.16</v>
      </c>
      <c r="R115" s="102">
        <f t="shared" si="121"/>
        <v>31404445.41</v>
      </c>
      <c r="S115" s="102"/>
      <c r="T115" s="102"/>
      <c r="U115" s="102"/>
      <c r="V115" s="102">
        <f t="shared" si="59"/>
        <v>30893146</v>
      </c>
      <c r="W115" s="102">
        <f t="shared" si="60"/>
        <v>31343649.16</v>
      </c>
      <c r="X115" s="102">
        <f t="shared" si="61"/>
        <v>31404445.41</v>
      </c>
    </row>
    <row r="116" spans="1:24">
      <c r="A116" s="2" t="s">
        <v>378</v>
      </c>
      <c r="B116" s="10" t="s">
        <v>42</v>
      </c>
      <c r="C116" s="10" t="s">
        <v>27</v>
      </c>
      <c r="D116" s="10" t="s">
        <v>20</v>
      </c>
      <c r="E116" s="65" t="s">
        <v>17</v>
      </c>
      <c r="F116" s="10" t="s">
        <v>134</v>
      </c>
      <c r="G116" s="10" t="s">
        <v>148</v>
      </c>
      <c r="H116" s="59" t="s">
        <v>153</v>
      </c>
      <c r="I116" s="17"/>
      <c r="J116" s="102">
        <f>J117</f>
        <v>20000</v>
      </c>
      <c r="K116" s="102">
        <f t="shared" ref="K116:O117" si="123">K117</f>
        <v>20000</v>
      </c>
      <c r="L116" s="102">
        <f>L117</f>
        <v>20000</v>
      </c>
      <c r="M116" s="102">
        <f t="shared" ref="M116:O116" si="124">M117</f>
        <v>0</v>
      </c>
      <c r="N116" s="102">
        <f t="shared" si="124"/>
        <v>0</v>
      </c>
      <c r="O116" s="102">
        <f t="shared" si="124"/>
        <v>0</v>
      </c>
      <c r="P116" s="102">
        <f t="shared" si="119"/>
        <v>20000</v>
      </c>
      <c r="Q116" s="102">
        <f t="shared" si="120"/>
        <v>20000</v>
      </c>
      <c r="R116" s="102">
        <f t="shared" si="121"/>
        <v>20000</v>
      </c>
      <c r="S116" s="102">
        <f t="shared" ref="S116:U117" si="125">S117</f>
        <v>0</v>
      </c>
      <c r="T116" s="102">
        <f t="shared" si="125"/>
        <v>0</v>
      </c>
      <c r="U116" s="102">
        <f t="shared" si="125"/>
        <v>0</v>
      </c>
      <c r="V116" s="102">
        <f t="shared" si="59"/>
        <v>20000</v>
      </c>
      <c r="W116" s="102">
        <f t="shared" si="60"/>
        <v>20000</v>
      </c>
      <c r="X116" s="102">
        <f t="shared" si="61"/>
        <v>20000</v>
      </c>
    </row>
    <row r="117" spans="1:24" ht="25.5">
      <c r="A117" s="7" t="s">
        <v>72</v>
      </c>
      <c r="B117" s="10" t="s">
        <v>42</v>
      </c>
      <c r="C117" s="10" t="s">
        <v>27</v>
      </c>
      <c r="D117" s="10" t="s">
        <v>20</v>
      </c>
      <c r="E117" s="65" t="s">
        <v>17</v>
      </c>
      <c r="F117" s="10" t="s">
        <v>134</v>
      </c>
      <c r="G117" s="10" t="s">
        <v>148</v>
      </c>
      <c r="H117" s="59" t="s">
        <v>153</v>
      </c>
      <c r="I117" s="17" t="s">
        <v>71</v>
      </c>
      <c r="J117" s="102">
        <f>J118</f>
        <v>20000</v>
      </c>
      <c r="K117" s="102">
        <f t="shared" si="123"/>
        <v>20000</v>
      </c>
      <c r="L117" s="102">
        <f t="shared" si="123"/>
        <v>20000</v>
      </c>
      <c r="M117" s="102">
        <f t="shared" si="123"/>
        <v>0</v>
      </c>
      <c r="N117" s="102">
        <f t="shared" si="123"/>
        <v>0</v>
      </c>
      <c r="O117" s="102">
        <f t="shared" si="123"/>
        <v>0</v>
      </c>
      <c r="P117" s="102">
        <f t="shared" si="119"/>
        <v>20000</v>
      </c>
      <c r="Q117" s="102">
        <f t="shared" si="120"/>
        <v>20000</v>
      </c>
      <c r="R117" s="102">
        <f t="shared" si="121"/>
        <v>20000</v>
      </c>
      <c r="S117" s="102">
        <f t="shared" si="125"/>
        <v>0</v>
      </c>
      <c r="T117" s="102">
        <f t="shared" si="125"/>
        <v>0</v>
      </c>
      <c r="U117" s="102">
        <f t="shared" si="125"/>
        <v>0</v>
      </c>
      <c r="V117" s="102">
        <f t="shared" si="59"/>
        <v>20000</v>
      </c>
      <c r="W117" s="102">
        <f t="shared" si="60"/>
        <v>20000</v>
      </c>
      <c r="X117" s="102">
        <f t="shared" si="61"/>
        <v>20000</v>
      </c>
    </row>
    <row r="118" spans="1:24">
      <c r="A118" s="11" t="s">
        <v>75</v>
      </c>
      <c r="B118" s="10" t="s">
        <v>42</v>
      </c>
      <c r="C118" s="10" t="s">
        <v>27</v>
      </c>
      <c r="D118" s="10" t="s">
        <v>20</v>
      </c>
      <c r="E118" s="65" t="s">
        <v>17</v>
      </c>
      <c r="F118" s="10" t="s">
        <v>134</v>
      </c>
      <c r="G118" s="10" t="s">
        <v>148</v>
      </c>
      <c r="H118" s="59" t="s">
        <v>153</v>
      </c>
      <c r="I118" s="17" t="s">
        <v>74</v>
      </c>
      <c r="J118" s="102">
        <v>20000</v>
      </c>
      <c r="K118" s="102">
        <v>20000</v>
      </c>
      <c r="L118" s="102">
        <v>20000</v>
      </c>
      <c r="M118" s="102"/>
      <c r="N118" s="102"/>
      <c r="O118" s="102"/>
      <c r="P118" s="102">
        <f t="shared" si="119"/>
        <v>20000</v>
      </c>
      <c r="Q118" s="102">
        <f t="shared" si="120"/>
        <v>20000</v>
      </c>
      <c r="R118" s="102">
        <f t="shared" si="121"/>
        <v>20000</v>
      </c>
      <c r="S118" s="102"/>
      <c r="T118" s="102"/>
      <c r="U118" s="102"/>
      <c r="V118" s="102">
        <f t="shared" si="59"/>
        <v>20000</v>
      </c>
      <c r="W118" s="102">
        <f t="shared" si="60"/>
        <v>20000</v>
      </c>
      <c r="X118" s="102">
        <f t="shared" si="61"/>
        <v>20000</v>
      </c>
    </row>
    <row r="119" spans="1:24" ht="38.25">
      <c r="A119" s="2" t="s">
        <v>381</v>
      </c>
      <c r="B119" s="10" t="s">
        <v>42</v>
      </c>
      <c r="C119" s="10" t="s">
        <v>27</v>
      </c>
      <c r="D119" s="10" t="s">
        <v>20</v>
      </c>
      <c r="E119" s="65" t="s">
        <v>17</v>
      </c>
      <c r="F119" s="10" t="s">
        <v>134</v>
      </c>
      <c r="G119" s="10" t="s">
        <v>148</v>
      </c>
      <c r="H119" s="10" t="s">
        <v>156</v>
      </c>
      <c r="I119" s="17"/>
      <c r="J119" s="102">
        <f>J120</f>
        <v>527218</v>
      </c>
      <c r="K119" s="102">
        <f t="shared" ref="K119:O120" si="126">K120</f>
        <v>512783</v>
      </c>
      <c r="L119" s="102">
        <f t="shared" si="126"/>
        <v>533293</v>
      </c>
      <c r="M119" s="102">
        <f t="shared" si="126"/>
        <v>0</v>
      </c>
      <c r="N119" s="102">
        <f t="shared" si="126"/>
        <v>0</v>
      </c>
      <c r="O119" s="102">
        <f t="shared" si="126"/>
        <v>0</v>
      </c>
      <c r="P119" s="102">
        <f t="shared" si="119"/>
        <v>527218</v>
      </c>
      <c r="Q119" s="102">
        <f t="shared" si="120"/>
        <v>512783</v>
      </c>
      <c r="R119" s="102">
        <f t="shared" si="121"/>
        <v>533293</v>
      </c>
      <c r="S119" s="102">
        <f t="shared" ref="S119:U120" si="127">S120</f>
        <v>0</v>
      </c>
      <c r="T119" s="102">
        <f t="shared" si="127"/>
        <v>0</v>
      </c>
      <c r="U119" s="102">
        <f t="shared" si="127"/>
        <v>0</v>
      </c>
      <c r="V119" s="102">
        <f t="shared" si="59"/>
        <v>527218</v>
      </c>
      <c r="W119" s="102">
        <f t="shared" si="60"/>
        <v>512783</v>
      </c>
      <c r="X119" s="102">
        <f t="shared" si="61"/>
        <v>533293</v>
      </c>
    </row>
    <row r="120" spans="1:24" ht="25.5">
      <c r="A120" s="7" t="s">
        <v>72</v>
      </c>
      <c r="B120" s="10" t="s">
        <v>42</v>
      </c>
      <c r="C120" s="10" t="s">
        <v>27</v>
      </c>
      <c r="D120" s="10" t="s">
        <v>20</v>
      </c>
      <c r="E120" s="65" t="s">
        <v>17</v>
      </c>
      <c r="F120" s="10" t="s">
        <v>134</v>
      </c>
      <c r="G120" s="10" t="s">
        <v>148</v>
      </c>
      <c r="H120" s="10" t="s">
        <v>156</v>
      </c>
      <c r="I120" s="17" t="s">
        <v>71</v>
      </c>
      <c r="J120" s="102">
        <f>J121</f>
        <v>527218</v>
      </c>
      <c r="K120" s="102">
        <f t="shared" si="126"/>
        <v>512783</v>
      </c>
      <c r="L120" s="102">
        <f t="shared" si="126"/>
        <v>533293</v>
      </c>
      <c r="M120" s="102">
        <f t="shared" si="126"/>
        <v>0</v>
      </c>
      <c r="N120" s="102">
        <f t="shared" si="126"/>
        <v>0</v>
      </c>
      <c r="O120" s="102">
        <f t="shared" si="126"/>
        <v>0</v>
      </c>
      <c r="P120" s="102">
        <f t="shared" si="119"/>
        <v>527218</v>
      </c>
      <c r="Q120" s="102">
        <f t="shared" si="120"/>
        <v>512783</v>
      </c>
      <c r="R120" s="102">
        <f t="shared" si="121"/>
        <v>533293</v>
      </c>
      <c r="S120" s="102">
        <f t="shared" si="127"/>
        <v>0</v>
      </c>
      <c r="T120" s="102">
        <f t="shared" si="127"/>
        <v>0</v>
      </c>
      <c r="U120" s="102">
        <f t="shared" si="127"/>
        <v>0</v>
      </c>
      <c r="V120" s="102">
        <f t="shared" si="59"/>
        <v>527218</v>
      </c>
      <c r="W120" s="102">
        <f t="shared" si="60"/>
        <v>512783</v>
      </c>
      <c r="X120" s="102">
        <f t="shared" si="61"/>
        <v>533293</v>
      </c>
    </row>
    <row r="121" spans="1:24">
      <c r="A121" s="11" t="s">
        <v>75</v>
      </c>
      <c r="B121" s="10" t="s">
        <v>42</v>
      </c>
      <c r="C121" s="10" t="s">
        <v>27</v>
      </c>
      <c r="D121" s="10" t="s">
        <v>20</v>
      </c>
      <c r="E121" s="65" t="s">
        <v>17</v>
      </c>
      <c r="F121" s="10" t="s">
        <v>134</v>
      </c>
      <c r="G121" s="10" t="s">
        <v>148</v>
      </c>
      <c r="H121" s="10" t="s">
        <v>156</v>
      </c>
      <c r="I121" s="17" t="s">
        <v>74</v>
      </c>
      <c r="J121" s="102">
        <v>527218</v>
      </c>
      <c r="K121" s="102">
        <v>512783</v>
      </c>
      <c r="L121" s="102">
        <v>533293</v>
      </c>
      <c r="M121" s="102"/>
      <c r="N121" s="102"/>
      <c r="O121" s="102"/>
      <c r="P121" s="102">
        <f t="shared" si="119"/>
        <v>527218</v>
      </c>
      <c r="Q121" s="102">
        <f t="shared" si="120"/>
        <v>512783</v>
      </c>
      <c r="R121" s="102">
        <f t="shared" si="121"/>
        <v>533293</v>
      </c>
      <c r="S121" s="102"/>
      <c r="T121" s="102"/>
      <c r="U121" s="102"/>
      <c r="V121" s="102">
        <f t="shared" si="59"/>
        <v>527218</v>
      </c>
      <c r="W121" s="102">
        <f t="shared" si="60"/>
        <v>512783</v>
      </c>
      <c r="X121" s="102">
        <f t="shared" si="61"/>
        <v>533293</v>
      </c>
    </row>
    <row r="122" spans="1:24">
      <c r="A122" s="11" t="s">
        <v>456</v>
      </c>
      <c r="B122" s="10" t="s">
        <v>42</v>
      </c>
      <c r="C122" s="10" t="s">
        <v>27</v>
      </c>
      <c r="D122" s="10" t="s">
        <v>20</v>
      </c>
      <c r="E122" s="65" t="s">
        <v>17</v>
      </c>
      <c r="F122" s="10" t="s">
        <v>134</v>
      </c>
      <c r="G122" s="10" t="s">
        <v>148</v>
      </c>
      <c r="H122" s="59" t="s">
        <v>455</v>
      </c>
      <c r="I122" s="17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>
        <f>S123</f>
        <v>713000</v>
      </c>
      <c r="T122" s="102">
        <f t="shared" ref="T122:U123" si="128">T123</f>
        <v>0</v>
      </c>
      <c r="U122" s="102">
        <f t="shared" si="128"/>
        <v>0</v>
      </c>
      <c r="V122" s="102">
        <f t="shared" ref="V122:V124" si="129">P122+S122</f>
        <v>713000</v>
      </c>
      <c r="W122" s="102">
        <f t="shared" ref="W122:W124" si="130">Q122+T122</f>
        <v>0</v>
      </c>
      <c r="X122" s="102">
        <f t="shared" ref="X122:X124" si="131">R122+U122</f>
        <v>0</v>
      </c>
    </row>
    <row r="123" spans="1:24" ht="25.5">
      <c r="A123" s="7" t="s">
        <v>72</v>
      </c>
      <c r="B123" s="10" t="s">
        <v>42</v>
      </c>
      <c r="C123" s="10" t="s">
        <v>27</v>
      </c>
      <c r="D123" s="10" t="s">
        <v>20</v>
      </c>
      <c r="E123" s="65" t="s">
        <v>17</v>
      </c>
      <c r="F123" s="10" t="s">
        <v>134</v>
      </c>
      <c r="G123" s="10" t="s">
        <v>148</v>
      </c>
      <c r="H123" s="59" t="s">
        <v>455</v>
      </c>
      <c r="I123" s="116" t="s">
        <v>71</v>
      </c>
      <c r="J123" s="102"/>
      <c r="K123" s="102"/>
      <c r="L123" s="102"/>
      <c r="M123" s="102"/>
      <c r="N123" s="102"/>
      <c r="O123" s="102"/>
      <c r="P123" s="102"/>
      <c r="Q123" s="102"/>
      <c r="R123" s="102"/>
      <c r="S123" s="102">
        <f>S124</f>
        <v>713000</v>
      </c>
      <c r="T123" s="102">
        <f t="shared" si="128"/>
        <v>0</v>
      </c>
      <c r="U123" s="102">
        <f t="shared" si="128"/>
        <v>0</v>
      </c>
      <c r="V123" s="102">
        <f t="shared" si="129"/>
        <v>713000</v>
      </c>
      <c r="W123" s="102">
        <f t="shared" si="130"/>
        <v>0</v>
      </c>
      <c r="X123" s="102">
        <f t="shared" si="131"/>
        <v>0</v>
      </c>
    </row>
    <row r="124" spans="1:24">
      <c r="A124" s="11" t="s">
        <v>75</v>
      </c>
      <c r="B124" s="10" t="s">
        <v>42</v>
      </c>
      <c r="C124" s="10" t="s">
        <v>27</v>
      </c>
      <c r="D124" s="10" t="s">
        <v>20</v>
      </c>
      <c r="E124" s="65" t="s">
        <v>17</v>
      </c>
      <c r="F124" s="10" t="s">
        <v>134</v>
      </c>
      <c r="G124" s="10" t="s">
        <v>148</v>
      </c>
      <c r="H124" s="59" t="s">
        <v>455</v>
      </c>
      <c r="I124" s="116" t="s">
        <v>74</v>
      </c>
      <c r="J124" s="102"/>
      <c r="K124" s="102"/>
      <c r="L124" s="102"/>
      <c r="M124" s="102"/>
      <c r="N124" s="102"/>
      <c r="O124" s="102"/>
      <c r="P124" s="102"/>
      <c r="Q124" s="102"/>
      <c r="R124" s="102"/>
      <c r="S124" s="102">
        <v>713000</v>
      </c>
      <c r="T124" s="102"/>
      <c r="U124" s="102"/>
      <c r="V124" s="102">
        <f t="shared" si="129"/>
        <v>713000</v>
      </c>
      <c r="W124" s="102">
        <f t="shared" si="130"/>
        <v>0</v>
      </c>
      <c r="X124" s="102">
        <f t="shared" si="131"/>
        <v>0</v>
      </c>
    </row>
    <row r="125" spans="1:24" ht="51">
      <c r="A125" s="2" t="s">
        <v>262</v>
      </c>
      <c r="B125" s="10" t="s">
        <v>42</v>
      </c>
      <c r="C125" s="10" t="s">
        <v>27</v>
      </c>
      <c r="D125" s="10" t="s">
        <v>20</v>
      </c>
      <c r="E125" s="10" t="s">
        <v>17</v>
      </c>
      <c r="F125" s="10" t="s">
        <v>134</v>
      </c>
      <c r="G125" s="10" t="s">
        <v>148</v>
      </c>
      <c r="H125" s="59" t="s">
        <v>263</v>
      </c>
      <c r="I125" s="17"/>
      <c r="J125" s="102">
        <f>J126</f>
        <v>16046.87</v>
      </c>
      <c r="K125" s="102">
        <f t="shared" ref="K125:O126" si="132">K126</f>
        <v>0</v>
      </c>
      <c r="L125" s="102">
        <f t="shared" si="132"/>
        <v>0</v>
      </c>
      <c r="M125" s="102">
        <f t="shared" si="132"/>
        <v>-16046.87</v>
      </c>
      <c r="N125" s="102">
        <f t="shared" si="132"/>
        <v>0</v>
      </c>
      <c r="O125" s="102">
        <f t="shared" si="132"/>
        <v>0</v>
      </c>
      <c r="P125" s="102">
        <f t="shared" si="119"/>
        <v>0</v>
      </c>
      <c r="Q125" s="102">
        <f t="shared" si="120"/>
        <v>0</v>
      </c>
      <c r="R125" s="102">
        <f t="shared" si="121"/>
        <v>0</v>
      </c>
      <c r="S125" s="102">
        <f t="shared" ref="S125:U126" si="133">S126</f>
        <v>0</v>
      </c>
      <c r="T125" s="102">
        <f t="shared" si="133"/>
        <v>0</v>
      </c>
      <c r="U125" s="102">
        <f t="shared" si="133"/>
        <v>0</v>
      </c>
      <c r="V125" s="102">
        <f t="shared" si="59"/>
        <v>0</v>
      </c>
      <c r="W125" s="102">
        <f t="shared" si="60"/>
        <v>0</v>
      </c>
      <c r="X125" s="102">
        <f t="shared" si="61"/>
        <v>0</v>
      </c>
    </row>
    <row r="126" spans="1:24" ht="25.5">
      <c r="A126" s="7" t="s">
        <v>72</v>
      </c>
      <c r="B126" s="10" t="s">
        <v>42</v>
      </c>
      <c r="C126" s="10" t="s">
        <v>27</v>
      </c>
      <c r="D126" s="10" t="s">
        <v>20</v>
      </c>
      <c r="E126" s="10" t="s">
        <v>17</v>
      </c>
      <c r="F126" s="10" t="s">
        <v>134</v>
      </c>
      <c r="G126" s="10" t="s">
        <v>148</v>
      </c>
      <c r="H126" s="59" t="s">
        <v>263</v>
      </c>
      <c r="I126" s="17" t="s">
        <v>71</v>
      </c>
      <c r="J126" s="102">
        <f>J127</f>
        <v>16046.87</v>
      </c>
      <c r="K126" s="102">
        <f t="shared" si="132"/>
        <v>0</v>
      </c>
      <c r="L126" s="102">
        <f t="shared" si="132"/>
        <v>0</v>
      </c>
      <c r="M126" s="102">
        <f t="shared" si="132"/>
        <v>-16046.87</v>
      </c>
      <c r="N126" s="102">
        <f t="shared" si="132"/>
        <v>0</v>
      </c>
      <c r="O126" s="102">
        <f t="shared" si="132"/>
        <v>0</v>
      </c>
      <c r="P126" s="102">
        <f t="shared" si="119"/>
        <v>0</v>
      </c>
      <c r="Q126" s="102">
        <f t="shared" si="120"/>
        <v>0</v>
      </c>
      <c r="R126" s="102">
        <f t="shared" si="121"/>
        <v>0</v>
      </c>
      <c r="S126" s="102">
        <f t="shared" si="133"/>
        <v>0</v>
      </c>
      <c r="T126" s="102">
        <f t="shared" si="133"/>
        <v>0</v>
      </c>
      <c r="U126" s="102">
        <f t="shared" si="133"/>
        <v>0</v>
      </c>
      <c r="V126" s="102">
        <f t="shared" si="59"/>
        <v>0</v>
      </c>
      <c r="W126" s="102">
        <f t="shared" si="60"/>
        <v>0</v>
      </c>
      <c r="X126" s="102">
        <f t="shared" si="61"/>
        <v>0</v>
      </c>
    </row>
    <row r="127" spans="1:24">
      <c r="A127" s="11" t="s">
        <v>75</v>
      </c>
      <c r="B127" s="10" t="s">
        <v>42</v>
      </c>
      <c r="C127" s="10" t="s">
        <v>27</v>
      </c>
      <c r="D127" s="10" t="s">
        <v>20</v>
      </c>
      <c r="E127" s="10" t="s">
        <v>17</v>
      </c>
      <c r="F127" s="10" t="s">
        <v>134</v>
      </c>
      <c r="G127" s="10" t="s">
        <v>148</v>
      </c>
      <c r="H127" s="59" t="s">
        <v>263</v>
      </c>
      <c r="I127" s="17" t="s">
        <v>74</v>
      </c>
      <c r="J127" s="102">
        <v>16046.87</v>
      </c>
      <c r="K127" s="102"/>
      <c r="L127" s="102"/>
      <c r="M127" s="102">
        <v>-16046.87</v>
      </c>
      <c r="N127" s="102"/>
      <c r="O127" s="102"/>
      <c r="P127" s="102">
        <f t="shared" si="119"/>
        <v>0</v>
      </c>
      <c r="Q127" s="102">
        <f t="shared" si="120"/>
        <v>0</v>
      </c>
      <c r="R127" s="102">
        <f t="shared" si="121"/>
        <v>0</v>
      </c>
      <c r="S127" s="102"/>
      <c r="T127" s="102"/>
      <c r="U127" s="102"/>
      <c r="V127" s="102">
        <f t="shared" si="59"/>
        <v>0</v>
      </c>
      <c r="W127" s="102">
        <f t="shared" si="60"/>
        <v>0</v>
      </c>
      <c r="X127" s="102">
        <f t="shared" si="61"/>
        <v>0</v>
      </c>
    </row>
    <row r="128" spans="1:24" ht="25.5">
      <c r="A128" s="124" t="s">
        <v>303</v>
      </c>
      <c r="B128" s="10" t="s">
        <v>42</v>
      </c>
      <c r="C128" s="10" t="s">
        <v>27</v>
      </c>
      <c r="D128" s="10" t="s">
        <v>20</v>
      </c>
      <c r="E128" s="10" t="s">
        <v>17</v>
      </c>
      <c r="F128" s="10" t="s">
        <v>134</v>
      </c>
      <c r="G128" s="10" t="s">
        <v>148</v>
      </c>
      <c r="H128" s="59" t="s">
        <v>302</v>
      </c>
      <c r="I128" s="17"/>
      <c r="J128" s="102">
        <f>J129</f>
        <v>71590.89</v>
      </c>
      <c r="K128" s="102">
        <f t="shared" ref="K128:O129" si="134">K129</f>
        <v>71590.89</v>
      </c>
      <c r="L128" s="102">
        <f t="shared" si="134"/>
        <v>71590.89</v>
      </c>
      <c r="M128" s="102">
        <f t="shared" si="134"/>
        <v>95075.82</v>
      </c>
      <c r="N128" s="102">
        <f t="shared" si="134"/>
        <v>-162.33000000000001</v>
      </c>
      <c r="O128" s="102">
        <f t="shared" si="134"/>
        <v>-162.33000000000001</v>
      </c>
      <c r="P128" s="102">
        <f t="shared" si="119"/>
        <v>166666.71000000002</v>
      </c>
      <c r="Q128" s="102">
        <f t="shared" si="120"/>
        <v>71428.56</v>
      </c>
      <c r="R128" s="102">
        <f t="shared" si="121"/>
        <v>71428.56</v>
      </c>
      <c r="S128" s="102">
        <f t="shared" ref="S128:U129" si="135">S129</f>
        <v>47008.56</v>
      </c>
      <c r="T128" s="102">
        <f t="shared" si="135"/>
        <v>0</v>
      </c>
      <c r="U128" s="102">
        <f t="shared" si="135"/>
        <v>0</v>
      </c>
      <c r="V128" s="102">
        <f t="shared" si="59"/>
        <v>213675.27000000002</v>
      </c>
      <c r="W128" s="102">
        <f t="shared" si="60"/>
        <v>71428.56</v>
      </c>
      <c r="X128" s="102">
        <f t="shared" si="61"/>
        <v>71428.56</v>
      </c>
    </row>
    <row r="129" spans="1:24" ht="25.5">
      <c r="A129" s="7" t="s">
        <v>72</v>
      </c>
      <c r="B129" s="10" t="s">
        <v>42</v>
      </c>
      <c r="C129" s="10" t="s">
        <v>27</v>
      </c>
      <c r="D129" s="10" t="s">
        <v>20</v>
      </c>
      <c r="E129" s="10" t="s">
        <v>17</v>
      </c>
      <c r="F129" s="10" t="s">
        <v>134</v>
      </c>
      <c r="G129" s="10" t="s">
        <v>148</v>
      </c>
      <c r="H129" s="59" t="s">
        <v>302</v>
      </c>
      <c r="I129" s="116" t="s">
        <v>71</v>
      </c>
      <c r="J129" s="102">
        <f>J130</f>
        <v>71590.89</v>
      </c>
      <c r="K129" s="102">
        <f t="shared" si="134"/>
        <v>71590.89</v>
      </c>
      <c r="L129" s="102">
        <f t="shared" si="134"/>
        <v>71590.89</v>
      </c>
      <c r="M129" s="102">
        <f t="shared" si="134"/>
        <v>95075.82</v>
      </c>
      <c r="N129" s="102">
        <f t="shared" si="134"/>
        <v>-162.33000000000001</v>
      </c>
      <c r="O129" s="102">
        <f t="shared" si="134"/>
        <v>-162.33000000000001</v>
      </c>
      <c r="P129" s="102">
        <f t="shared" si="119"/>
        <v>166666.71000000002</v>
      </c>
      <c r="Q129" s="102">
        <f t="shared" si="120"/>
        <v>71428.56</v>
      </c>
      <c r="R129" s="102">
        <f t="shared" si="121"/>
        <v>71428.56</v>
      </c>
      <c r="S129" s="102">
        <f t="shared" si="135"/>
        <v>47008.56</v>
      </c>
      <c r="T129" s="102">
        <f t="shared" si="135"/>
        <v>0</v>
      </c>
      <c r="U129" s="102">
        <f t="shared" si="135"/>
        <v>0</v>
      </c>
      <c r="V129" s="102">
        <f t="shared" si="59"/>
        <v>213675.27000000002</v>
      </c>
      <c r="W129" s="102">
        <f t="shared" si="60"/>
        <v>71428.56</v>
      </c>
      <c r="X129" s="102">
        <f t="shared" si="61"/>
        <v>71428.56</v>
      </c>
    </row>
    <row r="130" spans="1:24">
      <c r="A130" s="11" t="s">
        <v>75</v>
      </c>
      <c r="B130" s="10" t="s">
        <v>42</v>
      </c>
      <c r="C130" s="10" t="s">
        <v>27</v>
      </c>
      <c r="D130" s="10" t="s">
        <v>20</v>
      </c>
      <c r="E130" s="10" t="s">
        <v>17</v>
      </c>
      <c r="F130" s="10" t="s">
        <v>134</v>
      </c>
      <c r="G130" s="10" t="s">
        <v>148</v>
      </c>
      <c r="H130" s="59" t="s">
        <v>302</v>
      </c>
      <c r="I130" s="116" t="s">
        <v>74</v>
      </c>
      <c r="J130" s="102">
        <v>71590.89</v>
      </c>
      <c r="K130" s="102">
        <v>71590.89</v>
      </c>
      <c r="L130" s="102">
        <v>71590.89</v>
      </c>
      <c r="M130" s="102">
        <v>95075.82</v>
      </c>
      <c r="N130" s="102">
        <v>-162.33000000000001</v>
      </c>
      <c r="O130" s="102">
        <v>-162.33000000000001</v>
      </c>
      <c r="P130" s="102">
        <f t="shared" si="119"/>
        <v>166666.71000000002</v>
      </c>
      <c r="Q130" s="102">
        <f t="shared" si="120"/>
        <v>71428.56</v>
      </c>
      <c r="R130" s="102">
        <f t="shared" si="121"/>
        <v>71428.56</v>
      </c>
      <c r="S130" s="102">
        <v>47008.56</v>
      </c>
      <c r="T130" s="102"/>
      <c r="U130" s="102"/>
      <c r="V130" s="102">
        <f t="shared" si="59"/>
        <v>213675.27000000002</v>
      </c>
      <c r="W130" s="102">
        <f t="shared" si="60"/>
        <v>71428.56</v>
      </c>
      <c r="X130" s="102">
        <f t="shared" si="61"/>
        <v>71428.56</v>
      </c>
    </row>
    <row r="131" spans="1:24" ht="38.25">
      <c r="A131" s="124" t="s">
        <v>264</v>
      </c>
      <c r="B131" s="1" t="s">
        <v>42</v>
      </c>
      <c r="C131" s="1" t="s">
        <v>27</v>
      </c>
      <c r="D131" s="1" t="s">
        <v>20</v>
      </c>
      <c r="E131" s="1" t="s">
        <v>17</v>
      </c>
      <c r="F131" s="1" t="s">
        <v>134</v>
      </c>
      <c r="G131" s="1" t="s">
        <v>148</v>
      </c>
      <c r="H131" s="1" t="s">
        <v>265</v>
      </c>
      <c r="I131" s="13"/>
      <c r="J131" s="102">
        <f>J132</f>
        <v>365689.05</v>
      </c>
      <c r="K131" s="102">
        <f t="shared" ref="K131:O132" si="136">K132</f>
        <v>365689.05</v>
      </c>
      <c r="L131" s="102">
        <f t="shared" si="136"/>
        <v>0</v>
      </c>
      <c r="M131" s="102">
        <f t="shared" si="136"/>
        <v>-32267.91</v>
      </c>
      <c r="N131" s="102">
        <f t="shared" si="136"/>
        <v>-32267.91</v>
      </c>
      <c r="O131" s="102">
        <f t="shared" si="136"/>
        <v>262544.94</v>
      </c>
      <c r="P131" s="102">
        <f t="shared" si="119"/>
        <v>333421.14</v>
      </c>
      <c r="Q131" s="102">
        <f t="shared" si="120"/>
        <v>333421.14</v>
      </c>
      <c r="R131" s="102">
        <f t="shared" si="121"/>
        <v>262544.94</v>
      </c>
      <c r="S131" s="102">
        <f t="shared" ref="S131:U132" si="137">S132</f>
        <v>2782.57</v>
      </c>
      <c r="T131" s="102">
        <f t="shared" si="137"/>
        <v>0</v>
      </c>
      <c r="U131" s="102">
        <f t="shared" si="137"/>
        <v>0</v>
      </c>
      <c r="V131" s="102">
        <f t="shared" si="59"/>
        <v>336203.71</v>
      </c>
      <c r="W131" s="102">
        <f t="shared" si="60"/>
        <v>333421.14</v>
      </c>
      <c r="X131" s="102">
        <f t="shared" si="61"/>
        <v>262544.94</v>
      </c>
    </row>
    <row r="132" spans="1:24" ht="25.5">
      <c r="A132" s="7" t="s">
        <v>72</v>
      </c>
      <c r="B132" s="10" t="s">
        <v>42</v>
      </c>
      <c r="C132" s="10" t="s">
        <v>27</v>
      </c>
      <c r="D132" s="10" t="s">
        <v>20</v>
      </c>
      <c r="E132" s="10" t="s">
        <v>17</v>
      </c>
      <c r="F132" s="10" t="s">
        <v>134</v>
      </c>
      <c r="G132" s="10" t="s">
        <v>148</v>
      </c>
      <c r="H132" s="59" t="s">
        <v>265</v>
      </c>
      <c r="I132" s="116" t="s">
        <v>71</v>
      </c>
      <c r="J132" s="102">
        <f>J133</f>
        <v>365689.05</v>
      </c>
      <c r="K132" s="102">
        <f t="shared" si="136"/>
        <v>365689.05</v>
      </c>
      <c r="L132" s="102">
        <f t="shared" si="136"/>
        <v>0</v>
      </c>
      <c r="M132" s="102">
        <f t="shared" si="136"/>
        <v>-32267.91</v>
      </c>
      <c r="N132" s="102">
        <f t="shared" si="136"/>
        <v>-32267.91</v>
      </c>
      <c r="O132" s="102">
        <f t="shared" si="136"/>
        <v>262544.94</v>
      </c>
      <c r="P132" s="102">
        <f t="shared" si="119"/>
        <v>333421.14</v>
      </c>
      <c r="Q132" s="102">
        <f t="shared" si="120"/>
        <v>333421.14</v>
      </c>
      <c r="R132" s="102">
        <f t="shared" si="121"/>
        <v>262544.94</v>
      </c>
      <c r="S132" s="102">
        <f t="shared" si="137"/>
        <v>2782.57</v>
      </c>
      <c r="T132" s="102">
        <f t="shared" si="137"/>
        <v>0</v>
      </c>
      <c r="U132" s="102">
        <f t="shared" si="137"/>
        <v>0</v>
      </c>
      <c r="V132" s="102">
        <f t="shared" si="59"/>
        <v>336203.71</v>
      </c>
      <c r="W132" s="102">
        <f t="shared" si="60"/>
        <v>333421.14</v>
      </c>
      <c r="X132" s="102">
        <f t="shared" si="61"/>
        <v>262544.94</v>
      </c>
    </row>
    <row r="133" spans="1:24">
      <c r="A133" s="11" t="s">
        <v>75</v>
      </c>
      <c r="B133" s="10" t="s">
        <v>42</v>
      </c>
      <c r="C133" s="10" t="s">
        <v>27</v>
      </c>
      <c r="D133" s="10" t="s">
        <v>20</v>
      </c>
      <c r="E133" s="10" t="s">
        <v>17</v>
      </c>
      <c r="F133" s="10" t="s">
        <v>134</v>
      </c>
      <c r="G133" s="10" t="s">
        <v>148</v>
      </c>
      <c r="H133" s="59" t="s">
        <v>265</v>
      </c>
      <c r="I133" s="116" t="s">
        <v>74</v>
      </c>
      <c r="J133" s="102">
        <f>294506.8+71182.25</f>
        <v>365689.05</v>
      </c>
      <c r="K133" s="102">
        <f>294506.8+71182.25</f>
        <v>365689.05</v>
      </c>
      <c r="L133" s="102"/>
      <c r="M133" s="102">
        <v>-32267.91</v>
      </c>
      <c r="N133" s="102">
        <v>-32267.91</v>
      </c>
      <c r="O133" s="102">
        <v>262544.94</v>
      </c>
      <c r="P133" s="102">
        <f t="shared" si="119"/>
        <v>333421.14</v>
      </c>
      <c r="Q133" s="102">
        <f t="shared" si="120"/>
        <v>333421.14</v>
      </c>
      <c r="R133" s="102">
        <f t="shared" si="121"/>
        <v>262544.94</v>
      </c>
      <c r="S133" s="102">
        <v>2782.57</v>
      </c>
      <c r="T133" s="102"/>
      <c r="U133" s="102"/>
      <c r="V133" s="102">
        <f t="shared" si="59"/>
        <v>336203.71</v>
      </c>
      <c r="W133" s="102">
        <f t="shared" si="60"/>
        <v>333421.14</v>
      </c>
      <c r="X133" s="102">
        <f t="shared" si="61"/>
        <v>262544.94</v>
      </c>
    </row>
    <row r="134" spans="1:24" ht="15" customHeight="1">
      <c r="A134" s="2" t="s">
        <v>314</v>
      </c>
      <c r="B134" s="65" t="s">
        <v>42</v>
      </c>
      <c r="C134" s="10" t="s">
        <v>27</v>
      </c>
      <c r="D134" s="10" t="s">
        <v>20</v>
      </c>
      <c r="E134" s="10" t="s">
        <v>17</v>
      </c>
      <c r="F134" s="1" t="s">
        <v>44</v>
      </c>
      <c r="G134" s="1" t="s">
        <v>148</v>
      </c>
      <c r="H134" s="1" t="s">
        <v>149</v>
      </c>
      <c r="I134" s="13"/>
      <c r="J134" s="104">
        <f>J135+J138</f>
        <v>4615689</v>
      </c>
      <c r="K134" s="104">
        <f t="shared" ref="K134:L134" si="138">K135+K138</f>
        <v>4669393.22</v>
      </c>
      <c r="L134" s="104">
        <f t="shared" si="138"/>
        <v>4731810.74</v>
      </c>
      <c r="M134" s="104">
        <f t="shared" ref="M134:O134" si="139">M135+M138</f>
        <v>0</v>
      </c>
      <c r="N134" s="104">
        <f t="shared" si="139"/>
        <v>0</v>
      </c>
      <c r="O134" s="104">
        <f t="shared" si="139"/>
        <v>0</v>
      </c>
      <c r="P134" s="104">
        <f t="shared" si="119"/>
        <v>4615689</v>
      </c>
      <c r="Q134" s="104">
        <f t="shared" si="120"/>
        <v>4669393.22</v>
      </c>
      <c r="R134" s="104">
        <f t="shared" si="121"/>
        <v>4731810.74</v>
      </c>
      <c r="S134" s="104">
        <f t="shared" ref="S134:U134" si="140">S135+S138</f>
        <v>0</v>
      </c>
      <c r="T134" s="104">
        <f t="shared" si="140"/>
        <v>0</v>
      </c>
      <c r="U134" s="104">
        <f t="shared" si="140"/>
        <v>0</v>
      </c>
      <c r="V134" s="104">
        <f t="shared" si="59"/>
        <v>4615689</v>
      </c>
      <c r="W134" s="104">
        <f t="shared" si="60"/>
        <v>4669393.22</v>
      </c>
      <c r="X134" s="104">
        <f t="shared" si="61"/>
        <v>4731810.74</v>
      </c>
    </row>
    <row r="135" spans="1:24" ht="15.75" customHeight="1">
      <c r="A135" s="2" t="s">
        <v>189</v>
      </c>
      <c r="B135" s="65" t="s">
        <v>42</v>
      </c>
      <c r="C135" s="10" t="s">
        <v>27</v>
      </c>
      <c r="D135" s="10" t="s">
        <v>20</v>
      </c>
      <c r="E135" s="10" t="s">
        <v>17</v>
      </c>
      <c r="F135" s="1" t="s">
        <v>44</v>
      </c>
      <c r="G135" s="1" t="s">
        <v>148</v>
      </c>
      <c r="H135" s="1" t="s">
        <v>188</v>
      </c>
      <c r="I135" s="13"/>
      <c r="J135" s="104">
        <f>J136</f>
        <v>4478350</v>
      </c>
      <c r="K135" s="104">
        <f t="shared" ref="K135:O136" si="141">K136</f>
        <v>4534720.22</v>
      </c>
      <c r="L135" s="104">
        <f t="shared" si="141"/>
        <v>4591710.74</v>
      </c>
      <c r="M135" s="104">
        <f t="shared" si="141"/>
        <v>0</v>
      </c>
      <c r="N135" s="104">
        <f t="shared" si="141"/>
        <v>0</v>
      </c>
      <c r="O135" s="104">
        <f t="shared" si="141"/>
        <v>0</v>
      </c>
      <c r="P135" s="104">
        <f t="shared" si="119"/>
        <v>4478350</v>
      </c>
      <c r="Q135" s="104">
        <f t="shared" si="120"/>
        <v>4534720.22</v>
      </c>
      <c r="R135" s="104">
        <f t="shared" si="121"/>
        <v>4591710.74</v>
      </c>
      <c r="S135" s="104">
        <f t="shared" ref="S135:U136" si="142">S136</f>
        <v>0</v>
      </c>
      <c r="T135" s="104">
        <f t="shared" si="142"/>
        <v>0</v>
      </c>
      <c r="U135" s="104">
        <f t="shared" si="142"/>
        <v>0</v>
      </c>
      <c r="V135" s="104">
        <f t="shared" si="59"/>
        <v>4478350</v>
      </c>
      <c r="W135" s="104">
        <f t="shared" si="60"/>
        <v>4534720.22</v>
      </c>
      <c r="X135" s="104">
        <f t="shared" si="61"/>
        <v>4591710.74</v>
      </c>
    </row>
    <row r="136" spans="1:24" ht="25.5">
      <c r="A136" s="7" t="s">
        <v>72</v>
      </c>
      <c r="B136" s="65" t="s">
        <v>42</v>
      </c>
      <c r="C136" s="10" t="s">
        <v>27</v>
      </c>
      <c r="D136" s="10" t="s">
        <v>20</v>
      </c>
      <c r="E136" s="10" t="s">
        <v>17</v>
      </c>
      <c r="F136" s="1" t="s">
        <v>44</v>
      </c>
      <c r="G136" s="1" t="s">
        <v>148</v>
      </c>
      <c r="H136" s="1" t="s">
        <v>188</v>
      </c>
      <c r="I136" s="13" t="s">
        <v>71</v>
      </c>
      <c r="J136" s="104">
        <f>J137</f>
        <v>4478350</v>
      </c>
      <c r="K136" s="104">
        <f t="shared" si="141"/>
        <v>4534720.22</v>
      </c>
      <c r="L136" s="104">
        <f t="shared" si="141"/>
        <v>4591710.74</v>
      </c>
      <c r="M136" s="104">
        <f t="shared" si="141"/>
        <v>0</v>
      </c>
      <c r="N136" s="104">
        <f t="shared" si="141"/>
        <v>0</v>
      </c>
      <c r="O136" s="104">
        <f t="shared" si="141"/>
        <v>0</v>
      </c>
      <c r="P136" s="104">
        <f t="shared" si="119"/>
        <v>4478350</v>
      </c>
      <c r="Q136" s="104">
        <f t="shared" si="120"/>
        <v>4534720.22</v>
      </c>
      <c r="R136" s="104">
        <f t="shared" si="121"/>
        <v>4591710.74</v>
      </c>
      <c r="S136" s="104">
        <f t="shared" si="142"/>
        <v>0</v>
      </c>
      <c r="T136" s="104">
        <f t="shared" si="142"/>
        <v>0</v>
      </c>
      <c r="U136" s="104">
        <f t="shared" si="142"/>
        <v>0</v>
      </c>
      <c r="V136" s="104">
        <f t="shared" si="59"/>
        <v>4478350</v>
      </c>
      <c r="W136" s="104">
        <f t="shared" si="60"/>
        <v>4534720.22</v>
      </c>
      <c r="X136" s="104">
        <f t="shared" si="61"/>
        <v>4591710.74</v>
      </c>
    </row>
    <row r="137" spans="1:24">
      <c r="A137" s="11" t="s">
        <v>75</v>
      </c>
      <c r="B137" s="65" t="s">
        <v>42</v>
      </c>
      <c r="C137" s="10" t="s">
        <v>27</v>
      </c>
      <c r="D137" s="10" t="s">
        <v>20</v>
      </c>
      <c r="E137" s="10" t="s">
        <v>17</v>
      </c>
      <c r="F137" s="1" t="s">
        <v>44</v>
      </c>
      <c r="G137" s="1" t="s">
        <v>148</v>
      </c>
      <c r="H137" s="1" t="s">
        <v>188</v>
      </c>
      <c r="I137" s="13" t="s">
        <v>74</v>
      </c>
      <c r="J137" s="104">
        <f>4428350+50000</f>
        <v>4478350</v>
      </c>
      <c r="K137" s="104">
        <f>4484720.22+50000</f>
        <v>4534720.22</v>
      </c>
      <c r="L137" s="104">
        <f>4541710.74+50000</f>
        <v>4591710.74</v>
      </c>
      <c r="M137" s="104"/>
      <c r="N137" s="104"/>
      <c r="O137" s="104"/>
      <c r="P137" s="104">
        <f t="shared" si="119"/>
        <v>4478350</v>
      </c>
      <c r="Q137" s="104">
        <f t="shared" si="120"/>
        <v>4534720.22</v>
      </c>
      <c r="R137" s="104">
        <f t="shared" si="121"/>
        <v>4591710.74</v>
      </c>
      <c r="S137" s="104"/>
      <c r="T137" s="104"/>
      <c r="U137" s="104"/>
      <c r="V137" s="104">
        <f t="shared" si="59"/>
        <v>4478350</v>
      </c>
      <c r="W137" s="104">
        <f t="shared" si="60"/>
        <v>4534720.22</v>
      </c>
      <c r="X137" s="104">
        <f t="shared" si="61"/>
        <v>4591710.74</v>
      </c>
    </row>
    <row r="138" spans="1:24" ht="38.25">
      <c r="A138" s="2" t="s">
        <v>381</v>
      </c>
      <c r="B138" s="65" t="s">
        <v>42</v>
      </c>
      <c r="C138" s="10" t="s">
        <v>27</v>
      </c>
      <c r="D138" s="10" t="s">
        <v>20</v>
      </c>
      <c r="E138" s="10" t="s">
        <v>17</v>
      </c>
      <c r="F138" s="1" t="s">
        <v>44</v>
      </c>
      <c r="G138" s="1" t="s">
        <v>148</v>
      </c>
      <c r="H138" s="1" t="s">
        <v>156</v>
      </c>
      <c r="I138" s="13"/>
      <c r="J138" s="104">
        <f>J139</f>
        <v>137339</v>
      </c>
      <c r="K138" s="104">
        <f t="shared" ref="K138:O139" si="143">K139</f>
        <v>134673</v>
      </c>
      <c r="L138" s="104">
        <f t="shared" si="143"/>
        <v>140100</v>
      </c>
      <c r="M138" s="104">
        <f t="shared" si="143"/>
        <v>0</v>
      </c>
      <c r="N138" s="104">
        <f t="shared" si="143"/>
        <v>0</v>
      </c>
      <c r="O138" s="104">
        <f t="shared" si="143"/>
        <v>0</v>
      </c>
      <c r="P138" s="104">
        <f t="shared" si="119"/>
        <v>137339</v>
      </c>
      <c r="Q138" s="104">
        <f t="shared" si="120"/>
        <v>134673</v>
      </c>
      <c r="R138" s="104">
        <f t="shared" si="121"/>
        <v>140100</v>
      </c>
      <c r="S138" s="104">
        <f t="shared" ref="S138:U139" si="144">S139</f>
        <v>0</v>
      </c>
      <c r="T138" s="104">
        <f t="shared" si="144"/>
        <v>0</v>
      </c>
      <c r="U138" s="104">
        <f t="shared" si="144"/>
        <v>0</v>
      </c>
      <c r="V138" s="104">
        <f t="shared" si="59"/>
        <v>137339</v>
      </c>
      <c r="W138" s="104">
        <f t="shared" si="60"/>
        <v>134673</v>
      </c>
      <c r="X138" s="104">
        <f t="shared" si="61"/>
        <v>140100</v>
      </c>
    </row>
    <row r="139" spans="1:24" ht="25.5">
      <c r="A139" s="7" t="s">
        <v>72</v>
      </c>
      <c r="B139" s="65" t="s">
        <v>42</v>
      </c>
      <c r="C139" s="10" t="s">
        <v>27</v>
      </c>
      <c r="D139" s="10" t="s">
        <v>20</v>
      </c>
      <c r="E139" s="10" t="s">
        <v>17</v>
      </c>
      <c r="F139" s="1" t="s">
        <v>44</v>
      </c>
      <c r="G139" s="1" t="s">
        <v>148</v>
      </c>
      <c r="H139" s="1" t="s">
        <v>156</v>
      </c>
      <c r="I139" s="13" t="s">
        <v>71</v>
      </c>
      <c r="J139" s="104">
        <f>J140</f>
        <v>137339</v>
      </c>
      <c r="K139" s="104">
        <f t="shared" si="143"/>
        <v>134673</v>
      </c>
      <c r="L139" s="104">
        <f t="shared" si="143"/>
        <v>140100</v>
      </c>
      <c r="M139" s="104">
        <f t="shared" si="143"/>
        <v>0</v>
      </c>
      <c r="N139" s="104">
        <f t="shared" si="143"/>
        <v>0</v>
      </c>
      <c r="O139" s="104">
        <f t="shared" si="143"/>
        <v>0</v>
      </c>
      <c r="P139" s="104">
        <f t="shared" si="119"/>
        <v>137339</v>
      </c>
      <c r="Q139" s="104">
        <f t="shared" si="120"/>
        <v>134673</v>
      </c>
      <c r="R139" s="104">
        <f t="shared" si="121"/>
        <v>140100</v>
      </c>
      <c r="S139" s="104">
        <f t="shared" si="144"/>
        <v>0</v>
      </c>
      <c r="T139" s="104">
        <f t="shared" si="144"/>
        <v>0</v>
      </c>
      <c r="U139" s="104">
        <f t="shared" si="144"/>
        <v>0</v>
      </c>
      <c r="V139" s="104">
        <f t="shared" si="59"/>
        <v>137339</v>
      </c>
      <c r="W139" s="104">
        <f t="shared" si="60"/>
        <v>134673</v>
      </c>
      <c r="X139" s="104">
        <f t="shared" si="61"/>
        <v>140100</v>
      </c>
    </row>
    <row r="140" spans="1:24">
      <c r="A140" s="11" t="s">
        <v>75</v>
      </c>
      <c r="B140" s="65" t="s">
        <v>42</v>
      </c>
      <c r="C140" s="10" t="s">
        <v>27</v>
      </c>
      <c r="D140" s="10" t="s">
        <v>20</v>
      </c>
      <c r="E140" s="10" t="s">
        <v>17</v>
      </c>
      <c r="F140" s="1" t="s">
        <v>44</v>
      </c>
      <c r="G140" s="1" t="s">
        <v>148</v>
      </c>
      <c r="H140" s="1" t="s">
        <v>156</v>
      </c>
      <c r="I140" s="13" t="s">
        <v>74</v>
      </c>
      <c r="J140" s="104">
        <v>137339</v>
      </c>
      <c r="K140" s="104">
        <v>134673</v>
      </c>
      <c r="L140" s="104">
        <v>140100</v>
      </c>
      <c r="M140" s="104"/>
      <c r="N140" s="104"/>
      <c r="O140" s="104"/>
      <c r="P140" s="104">
        <f t="shared" si="119"/>
        <v>137339</v>
      </c>
      <c r="Q140" s="104">
        <f t="shared" si="120"/>
        <v>134673</v>
      </c>
      <c r="R140" s="104">
        <f t="shared" si="121"/>
        <v>140100</v>
      </c>
      <c r="S140" s="104"/>
      <c r="T140" s="104"/>
      <c r="U140" s="104"/>
      <c r="V140" s="104">
        <f t="shared" si="59"/>
        <v>137339</v>
      </c>
      <c r="W140" s="104">
        <f t="shared" si="60"/>
        <v>134673</v>
      </c>
      <c r="X140" s="104">
        <f t="shared" si="61"/>
        <v>140100</v>
      </c>
    </row>
    <row r="141" spans="1:24">
      <c r="A141" s="7"/>
      <c r="B141" s="39"/>
      <c r="C141" s="1"/>
      <c r="D141" s="1"/>
      <c r="E141" s="1"/>
      <c r="F141" s="1"/>
      <c r="G141" s="1"/>
      <c r="H141" s="1"/>
      <c r="I141" s="13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</row>
    <row r="142" spans="1:24">
      <c r="A142" s="4" t="s">
        <v>50</v>
      </c>
      <c r="B142" s="14" t="s">
        <v>42</v>
      </c>
      <c r="C142" s="15" t="s">
        <v>27</v>
      </c>
      <c r="D142" s="15" t="s">
        <v>16</v>
      </c>
      <c r="E142" s="15"/>
      <c r="F142" s="15"/>
      <c r="G142" s="15"/>
      <c r="H142" s="15"/>
      <c r="I142" s="26"/>
      <c r="J142" s="101">
        <f>J143</f>
        <v>13599704</v>
      </c>
      <c r="K142" s="101">
        <f t="shared" ref="K142:O142" si="145">K143</f>
        <v>13731991.130000001</v>
      </c>
      <c r="L142" s="101">
        <f t="shared" si="145"/>
        <v>13795601.039999999</v>
      </c>
      <c r="M142" s="101">
        <f t="shared" si="145"/>
        <v>0</v>
      </c>
      <c r="N142" s="101">
        <f t="shared" si="145"/>
        <v>0</v>
      </c>
      <c r="O142" s="101">
        <f t="shared" si="145"/>
        <v>0</v>
      </c>
      <c r="P142" s="101">
        <f t="shared" si="119"/>
        <v>13599704</v>
      </c>
      <c r="Q142" s="101">
        <f t="shared" si="120"/>
        <v>13731991.130000001</v>
      </c>
      <c r="R142" s="101">
        <f t="shared" si="121"/>
        <v>13795601.039999999</v>
      </c>
      <c r="S142" s="101">
        <f t="shared" ref="S142:U142" si="146">S143</f>
        <v>0</v>
      </c>
      <c r="T142" s="101">
        <f t="shared" si="146"/>
        <v>0</v>
      </c>
      <c r="U142" s="101">
        <f t="shared" si="146"/>
        <v>0</v>
      </c>
      <c r="V142" s="101">
        <f t="shared" ref="V142:V150" si="147">P142+S142</f>
        <v>13599704</v>
      </c>
      <c r="W142" s="101">
        <f t="shared" ref="W142:W150" si="148">Q142+T142</f>
        <v>13731991.130000001</v>
      </c>
      <c r="X142" s="101">
        <f t="shared" ref="X142:X150" si="149">R142+U142</f>
        <v>13795601.039999999</v>
      </c>
    </row>
    <row r="143" spans="1:24">
      <c r="A143" s="7" t="s">
        <v>83</v>
      </c>
      <c r="B143" s="1" t="s">
        <v>42</v>
      </c>
      <c r="C143" s="1" t="s">
        <v>27</v>
      </c>
      <c r="D143" s="1" t="s">
        <v>16</v>
      </c>
      <c r="E143" s="1" t="s">
        <v>82</v>
      </c>
      <c r="F143" s="1" t="s">
        <v>70</v>
      </c>
      <c r="G143" s="1" t="s">
        <v>148</v>
      </c>
      <c r="H143" s="1" t="s">
        <v>149</v>
      </c>
      <c r="I143" s="13"/>
      <c r="J143" s="102">
        <f>SUM(J144)</f>
        <v>13599704</v>
      </c>
      <c r="K143" s="102">
        <f t="shared" ref="K143:O143" si="150">SUM(K144)</f>
        <v>13731991.130000001</v>
      </c>
      <c r="L143" s="102">
        <f t="shared" si="150"/>
        <v>13795601.039999999</v>
      </c>
      <c r="M143" s="102">
        <f t="shared" si="150"/>
        <v>0</v>
      </c>
      <c r="N143" s="102">
        <f t="shared" si="150"/>
        <v>0</v>
      </c>
      <c r="O143" s="102">
        <f t="shared" si="150"/>
        <v>0</v>
      </c>
      <c r="P143" s="102">
        <f t="shared" si="119"/>
        <v>13599704</v>
      </c>
      <c r="Q143" s="102">
        <f t="shared" si="120"/>
        <v>13731991.130000001</v>
      </c>
      <c r="R143" s="102">
        <f t="shared" si="121"/>
        <v>13795601.039999999</v>
      </c>
      <c r="S143" s="102">
        <f t="shared" ref="S143:U143" si="151">SUM(S144)</f>
        <v>0</v>
      </c>
      <c r="T143" s="102">
        <f t="shared" si="151"/>
        <v>0</v>
      </c>
      <c r="U143" s="102">
        <f t="shared" si="151"/>
        <v>0</v>
      </c>
      <c r="V143" s="102">
        <f t="shared" si="147"/>
        <v>13599704</v>
      </c>
      <c r="W143" s="102">
        <f t="shared" si="148"/>
        <v>13731991.130000001</v>
      </c>
      <c r="X143" s="102">
        <f t="shared" si="149"/>
        <v>13795601.039999999</v>
      </c>
    </row>
    <row r="144" spans="1:24" ht="25.5">
      <c r="A144" s="2" t="s">
        <v>87</v>
      </c>
      <c r="B144" s="1" t="s">
        <v>42</v>
      </c>
      <c r="C144" s="1" t="s">
        <v>27</v>
      </c>
      <c r="D144" s="1" t="s">
        <v>16</v>
      </c>
      <c r="E144" s="1" t="s">
        <v>82</v>
      </c>
      <c r="F144" s="1" t="s">
        <v>70</v>
      </c>
      <c r="G144" s="1" t="s">
        <v>148</v>
      </c>
      <c r="H144" s="1" t="s">
        <v>158</v>
      </c>
      <c r="I144" s="13"/>
      <c r="J144" s="81">
        <f>J145+J147+J149</f>
        <v>13599704</v>
      </c>
      <c r="K144" s="81">
        <f t="shared" ref="K144:L144" si="152">K145+K147+K149</f>
        <v>13731991.130000001</v>
      </c>
      <c r="L144" s="81">
        <f t="shared" si="152"/>
        <v>13795601.039999999</v>
      </c>
      <c r="M144" s="81">
        <f t="shared" ref="M144:O144" si="153">M145+M147+M149</f>
        <v>0</v>
      </c>
      <c r="N144" s="81">
        <f t="shared" si="153"/>
        <v>0</v>
      </c>
      <c r="O144" s="81">
        <f t="shared" si="153"/>
        <v>0</v>
      </c>
      <c r="P144" s="81">
        <f t="shared" si="119"/>
        <v>13599704</v>
      </c>
      <c r="Q144" s="81">
        <f t="shared" si="120"/>
        <v>13731991.130000001</v>
      </c>
      <c r="R144" s="81">
        <f t="shared" si="121"/>
        <v>13795601.039999999</v>
      </c>
      <c r="S144" s="81">
        <f t="shared" ref="S144:U144" si="154">S145+S147+S149</f>
        <v>0</v>
      </c>
      <c r="T144" s="81">
        <f t="shared" si="154"/>
        <v>0</v>
      </c>
      <c r="U144" s="81">
        <f t="shared" si="154"/>
        <v>0</v>
      </c>
      <c r="V144" s="81">
        <f t="shared" si="147"/>
        <v>13599704</v>
      </c>
      <c r="W144" s="81">
        <f t="shared" si="148"/>
        <v>13731991.130000001</v>
      </c>
      <c r="X144" s="81">
        <f t="shared" si="149"/>
        <v>13795601.039999999</v>
      </c>
    </row>
    <row r="145" spans="1:24" ht="38.25">
      <c r="A145" s="77" t="s">
        <v>96</v>
      </c>
      <c r="B145" s="1" t="s">
        <v>42</v>
      </c>
      <c r="C145" s="1" t="s">
        <v>27</v>
      </c>
      <c r="D145" s="1" t="s">
        <v>16</v>
      </c>
      <c r="E145" s="1" t="s">
        <v>82</v>
      </c>
      <c r="F145" s="1" t="s">
        <v>70</v>
      </c>
      <c r="G145" s="1" t="s">
        <v>148</v>
      </c>
      <c r="H145" s="1" t="s">
        <v>158</v>
      </c>
      <c r="I145" s="13" t="s">
        <v>92</v>
      </c>
      <c r="J145" s="81">
        <f>J146</f>
        <v>13422704</v>
      </c>
      <c r="K145" s="81">
        <f t="shared" ref="K145:O145" si="155">K146</f>
        <v>13554991.130000001</v>
      </c>
      <c r="L145" s="81">
        <f t="shared" si="155"/>
        <v>13618601.039999999</v>
      </c>
      <c r="M145" s="81">
        <f t="shared" si="155"/>
        <v>0</v>
      </c>
      <c r="N145" s="81">
        <f t="shared" si="155"/>
        <v>0</v>
      </c>
      <c r="O145" s="81">
        <f t="shared" si="155"/>
        <v>0</v>
      </c>
      <c r="P145" s="81">
        <f t="shared" si="119"/>
        <v>13422704</v>
      </c>
      <c r="Q145" s="81">
        <f t="shared" si="120"/>
        <v>13554991.130000001</v>
      </c>
      <c r="R145" s="81">
        <f t="shared" si="121"/>
        <v>13618601.039999999</v>
      </c>
      <c r="S145" s="81">
        <f t="shared" ref="S145:U145" si="156">S146</f>
        <v>0</v>
      </c>
      <c r="T145" s="81">
        <f t="shared" si="156"/>
        <v>0</v>
      </c>
      <c r="U145" s="81">
        <f t="shared" si="156"/>
        <v>0</v>
      </c>
      <c r="V145" s="81">
        <f t="shared" si="147"/>
        <v>13422704</v>
      </c>
      <c r="W145" s="81">
        <f t="shared" si="148"/>
        <v>13554991.130000001</v>
      </c>
      <c r="X145" s="81">
        <f t="shared" si="149"/>
        <v>13618601.039999999</v>
      </c>
    </row>
    <row r="146" spans="1:24">
      <c r="A146" s="77" t="s">
        <v>103</v>
      </c>
      <c r="B146" s="1" t="s">
        <v>42</v>
      </c>
      <c r="C146" s="1" t="s">
        <v>27</v>
      </c>
      <c r="D146" s="1" t="s">
        <v>16</v>
      </c>
      <c r="E146" s="1" t="s">
        <v>82</v>
      </c>
      <c r="F146" s="1" t="s">
        <v>70</v>
      </c>
      <c r="G146" s="1" t="s">
        <v>148</v>
      </c>
      <c r="H146" s="1" t="s">
        <v>158</v>
      </c>
      <c r="I146" s="13" t="s">
        <v>102</v>
      </c>
      <c r="J146" s="81">
        <v>13422704</v>
      </c>
      <c r="K146" s="81">
        <v>13554991.130000001</v>
      </c>
      <c r="L146" s="81">
        <v>13618601.039999999</v>
      </c>
      <c r="M146" s="81"/>
      <c r="N146" s="81"/>
      <c r="O146" s="81"/>
      <c r="P146" s="81">
        <f t="shared" si="119"/>
        <v>13422704</v>
      </c>
      <c r="Q146" s="81">
        <f t="shared" si="120"/>
        <v>13554991.130000001</v>
      </c>
      <c r="R146" s="81">
        <f t="shared" si="121"/>
        <v>13618601.039999999</v>
      </c>
      <c r="S146" s="81"/>
      <c r="T146" s="81"/>
      <c r="U146" s="81"/>
      <c r="V146" s="81">
        <f t="shared" si="147"/>
        <v>13422704</v>
      </c>
      <c r="W146" s="81">
        <f t="shared" si="148"/>
        <v>13554991.130000001</v>
      </c>
      <c r="X146" s="81">
        <f t="shared" si="149"/>
        <v>13618601.039999999</v>
      </c>
    </row>
    <row r="147" spans="1:24" ht="25.5">
      <c r="A147" s="78" t="s">
        <v>260</v>
      </c>
      <c r="B147" s="1" t="s">
        <v>42</v>
      </c>
      <c r="C147" s="1" t="s">
        <v>27</v>
      </c>
      <c r="D147" s="1" t="s">
        <v>16</v>
      </c>
      <c r="E147" s="1" t="s">
        <v>82</v>
      </c>
      <c r="F147" s="1" t="s">
        <v>70</v>
      </c>
      <c r="G147" s="1" t="s">
        <v>148</v>
      </c>
      <c r="H147" s="1" t="s">
        <v>158</v>
      </c>
      <c r="I147" s="13" t="s">
        <v>94</v>
      </c>
      <c r="J147" s="81">
        <f>J148</f>
        <v>172000</v>
      </c>
      <c r="K147" s="81">
        <f t="shared" ref="K147:O147" si="157">K148</f>
        <v>172000</v>
      </c>
      <c r="L147" s="81">
        <f t="shared" si="157"/>
        <v>172000</v>
      </c>
      <c r="M147" s="81">
        <f t="shared" si="157"/>
        <v>0</v>
      </c>
      <c r="N147" s="81">
        <f t="shared" si="157"/>
        <v>0</v>
      </c>
      <c r="O147" s="81">
        <f t="shared" si="157"/>
        <v>0</v>
      </c>
      <c r="P147" s="81">
        <f t="shared" si="119"/>
        <v>172000</v>
      </c>
      <c r="Q147" s="81">
        <f t="shared" si="120"/>
        <v>172000</v>
      </c>
      <c r="R147" s="81">
        <f t="shared" si="121"/>
        <v>172000</v>
      </c>
      <c r="S147" s="81">
        <f t="shared" ref="S147:U147" si="158">S148</f>
        <v>0</v>
      </c>
      <c r="T147" s="81">
        <f t="shared" si="158"/>
        <v>0</v>
      </c>
      <c r="U147" s="81">
        <f t="shared" si="158"/>
        <v>0</v>
      </c>
      <c r="V147" s="81">
        <f t="shared" si="147"/>
        <v>172000</v>
      </c>
      <c r="W147" s="81">
        <f t="shared" si="148"/>
        <v>172000</v>
      </c>
      <c r="X147" s="81">
        <f t="shared" si="149"/>
        <v>172000</v>
      </c>
    </row>
    <row r="148" spans="1:24" ht="25.5">
      <c r="A148" s="77" t="s">
        <v>98</v>
      </c>
      <c r="B148" s="1" t="s">
        <v>42</v>
      </c>
      <c r="C148" s="1" t="s">
        <v>27</v>
      </c>
      <c r="D148" s="1" t="s">
        <v>16</v>
      </c>
      <c r="E148" s="1" t="s">
        <v>82</v>
      </c>
      <c r="F148" s="1" t="s">
        <v>70</v>
      </c>
      <c r="G148" s="1" t="s">
        <v>148</v>
      </c>
      <c r="H148" s="1" t="s">
        <v>158</v>
      </c>
      <c r="I148" s="13" t="s">
        <v>95</v>
      </c>
      <c r="J148" s="81">
        <v>172000</v>
      </c>
      <c r="K148" s="81">
        <v>172000</v>
      </c>
      <c r="L148" s="81">
        <v>172000</v>
      </c>
      <c r="M148" s="81"/>
      <c r="N148" s="81"/>
      <c r="O148" s="81"/>
      <c r="P148" s="81">
        <f t="shared" si="119"/>
        <v>172000</v>
      </c>
      <c r="Q148" s="81">
        <f t="shared" si="120"/>
        <v>172000</v>
      </c>
      <c r="R148" s="81">
        <f t="shared" si="121"/>
        <v>172000</v>
      </c>
      <c r="S148" s="81"/>
      <c r="T148" s="81"/>
      <c r="U148" s="81"/>
      <c r="V148" s="81">
        <f t="shared" si="147"/>
        <v>172000</v>
      </c>
      <c r="W148" s="81">
        <f t="shared" si="148"/>
        <v>172000</v>
      </c>
      <c r="X148" s="81">
        <f t="shared" si="149"/>
        <v>172000</v>
      </c>
    </row>
    <row r="149" spans="1:24">
      <c r="A149" s="77" t="s">
        <v>80</v>
      </c>
      <c r="B149" s="1" t="s">
        <v>42</v>
      </c>
      <c r="C149" s="1" t="s">
        <v>27</v>
      </c>
      <c r="D149" s="1" t="s">
        <v>16</v>
      </c>
      <c r="E149" s="1" t="s">
        <v>82</v>
      </c>
      <c r="F149" s="1" t="s">
        <v>70</v>
      </c>
      <c r="G149" s="1" t="s">
        <v>148</v>
      </c>
      <c r="H149" s="1" t="s">
        <v>158</v>
      </c>
      <c r="I149" s="13" t="s">
        <v>77</v>
      </c>
      <c r="J149" s="81">
        <f>J150</f>
        <v>5000</v>
      </c>
      <c r="K149" s="81">
        <f t="shared" ref="K149:O149" si="159">K150</f>
        <v>5000</v>
      </c>
      <c r="L149" s="81">
        <f t="shared" si="159"/>
        <v>5000</v>
      </c>
      <c r="M149" s="81">
        <f t="shared" si="159"/>
        <v>0</v>
      </c>
      <c r="N149" s="81">
        <f t="shared" si="159"/>
        <v>0</v>
      </c>
      <c r="O149" s="81">
        <f t="shared" si="159"/>
        <v>0</v>
      </c>
      <c r="P149" s="81">
        <f t="shared" si="119"/>
        <v>5000</v>
      </c>
      <c r="Q149" s="81">
        <f t="shared" si="120"/>
        <v>5000</v>
      </c>
      <c r="R149" s="81">
        <f t="shared" si="121"/>
        <v>5000</v>
      </c>
      <c r="S149" s="81">
        <f t="shared" ref="S149:U149" si="160">S150</f>
        <v>0</v>
      </c>
      <c r="T149" s="81">
        <f t="shared" si="160"/>
        <v>0</v>
      </c>
      <c r="U149" s="81">
        <f t="shared" si="160"/>
        <v>0</v>
      </c>
      <c r="V149" s="81">
        <f t="shared" si="147"/>
        <v>5000</v>
      </c>
      <c r="W149" s="81">
        <f t="shared" si="148"/>
        <v>5000</v>
      </c>
      <c r="X149" s="81">
        <f t="shared" si="149"/>
        <v>5000</v>
      </c>
    </row>
    <row r="150" spans="1:24">
      <c r="A150" s="80" t="s">
        <v>125</v>
      </c>
      <c r="B150" s="1" t="s">
        <v>42</v>
      </c>
      <c r="C150" s="1" t="s">
        <v>27</v>
      </c>
      <c r="D150" s="1" t="s">
        <v>16</v>
      </c>
      <c r="E150" s="1" t="s">
        <v>82</v>
      </c>
      <c r="F150" s="1" t="s">
        <v>70</v>
      </c>
      <c r="G150" s="1" t="s">
        <v>148</v>
      </c>
      <c r="H150" s="1" t="s">
        <v>158</v>
      </c>
      <c r="I150" s="13" t="s">
        <v>124</v>
      </c>
      <c r="J150" s="81">
        <v>5000</v>
      </c>
      <c r="K150" s="81">
        <v>5000</v>
      </c>
      <c r="L150" s="81">
        <v>5000</v>
      </c>
      <c r="M150" s="81"/>
      <c r="N150" s="81"/>
      <c r="O150" s="81"/>
      <c r="P150" s="81">
        <f t="shared" si="119"/>
        <v>5000</v>
      </c>
      <c r="Q150" s="81">
        <f t="shared" si="120"/>
        <v>5000</v>
      </c>
      <c r="R150" s="81">
        <f t="shared" si="121"/>
        <v>5000</v>
      </c>
      <c r="S150" s="81"/>
      <c r="T150" s="81"/>
      <c r="U150" s="81"/>
      <c r="V150" s="81">
        <f t="shared" si="147"/>
        <v>5000</v>
      </c>
      <c r="W150" s="81">
        <f t="shared" si="148"/>
        <v>5000</v>
      </c>
      <c r="X150" s="81">
        <f t="shared" si="149"/>
        <v>5000</v>
      </c>
    </row>
    <row r="151" spans="1:24">
      <c r="A151" s="11"/>
      <c r="B151" s="48"/>
      <c r="C151" s="1"/>
      <c r="D151" s="1"/>
      <c r="E151" s="1"/>
      <c r="F151" s="1"/>
      <c r="G151" s="1"/>
      <c r="H151" s="1"/>
      <c r="I151" s="13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</row>
    <row r="152" spans="1:24" s="145" customFormat="1" ht="15.75">
      <c r="A152" s="24" t="s">
        <v>5</v>
      </c>
      <c r="B152" s="142" t="s">
        <v>42</v>
      </c>
      <c r="C152" s="27" t="s">
        <v>30</v>
      </c>
      <c r="D152" s="27"/>
      <c r="E152" s="27"/>
      <c r="F152" s="27"/>
      <c r="G152" s="27"/>
      <c r="H152" s="27"/>
      <c r="I152" s="143"/>
      <c r="J152" s="144">
        <f>J153</f>
        <v>250000</v>
      </c>
      <c r="K152" s="144">
        <f t="shared" ref="K152:O156" si="161">K153</f>
        <v>250000</v>
      </c>
      <c r="L152" s="144">
        <f t="shared" si="161"/>
        <v>250000</v>
      </c>
      <c r="M152" s="144">
        <f t="shared" si="161"/>
        <v>0</v>
      </c>
      <c r="N152" s="144">
        <f t="shared" si="161"/>
        <v>0</v>
      </c>
      <c r="O152" s="144">
        <f t="shared" si="161"/>
        <v>0</v>
      </c>
      <c r="P152" s="144">
        <f t="shared" si="119"/>
        <v>250000</v>
      </c>
      <c r="Q152" s="144">
        <f t="shared" si="120"/>
        <v>250000</v>
      </c>
      <c r="R152" s="144">
        <f t="shared" si="121"/>
        <v>250000</v>
      </c>
      <c r="S152" s="144">
        <f t="shared" ref="S152:U156" si="162">S153</f>
        <v>315911.92</v>
      </c>
      <c r="T152" s="144">
        <f t="shared" si="162"/>
        <v>0</v>
      </c>
      <c r="U152" s="144">
        <f t="shared" si="162"/>
        <v>0</v>
      </c>
      <c r="V152" s="144">
        <f t="shared" ref="V152:V157" si="163">P152+S152</f>
        <v>565911.91999999993</v>
      </c>
      <c r="W152" s="144">
        <f t="shared" ref="W152:W157" si="164">Q152+T152</f>
        <v>250000</v>
      </c>
      <c r="X152" s="144">
        <f t="shared" ref="X152:X157" si="165">R152+U152</f>
        <v>250000</v>
      </c>
    </row>
    <row r="153" spans="1:24" s="152" customFormat="1">
      <c r="A153" s="4" t="s">
        <v>21</v>
      </c>
      <c r="B153" s="149" t="s">
        <v>42</v>
      </c>
      <c r="C153" s="57" t="s">
        <v>30</v>
      </c>
      <c r="D153" s="57" t="s">
        <v>16</v>
      </c>
      <c r="E153" s="57"/>
      <c r="F153" s="57"/>
      <c r="G153" s="57"/>
      <c r="H153" s="57"/>
      <c r="I153" s="150"/>
      <c r="J153" s="151">
        <f>J154</f>
        <v>250000</v>
      </c>
      <c r="K153" s="151">
        <f t="shared" si="161"/>
        <v>250000</v>
      </c>
      <c r="L153" s="151">
        <f t="shared" si="161"/>
        <v>250000</v>
      </c>
      <c r="M153" s="151">
        <f t="shared" si="161"/>
        <v>0</v>
      </c>
      <c r="N153" s="151">
        <f t="shared" si="161"/>
        <v>0</v>
      </c>
      <c r="O153" s="151">
        <f t="shared" si="161"/>
        <v>0</v>
      </c>
      <c r="P153" s="151">
        <f t="shared" si="119"/>
        <v>250000</v>
      </c>
      <c r="Q153" s="151">
        <f t="shared" si="120"/>
        <v>250000</v>
      </c>
      <c r="R153" s="151">
        <f t="shared" si="121"/>
        <v>250000</v>
      </c>
      <c r="S153" s="151">
        <f t="shared" si="162"/>
        <v>315911.92</v>
      </c>
      <c r="T153" s="151">
        <f t="shared" si="162"/>
        <v>0</v>
      </c>
      <c r="U153" s="151">
        <f t="shared" si="162"/>
        <v>0</v>
      </c>
      <c r="V153" s="151">
        <f t="shared" si="163"/>
        <v>565911.91999999993</v>
      </c>
      <c r="W153" s="151">
        <f t="shared" si="164"/>
        <v>250000</v>
      </c>
      <c r="X153" s="151">
        <f t="shared" si="165"/>
        <v>250000</v>
      </c>
    </row>
    <row r="154" spans="1:24" s="148" customFormat="1" ht="27.75" customHeight="1">
      <c r="A154" s="2" t="s">
        <v>321</v>
      </c>
      <c r="B154" s="146" t="s">
        <v>42</v>
      </c>
      <c r="C154" s="3" t="s">
        <v>30</v>
      </c>
      <c r="D154" s="3" t="s">
        <v>16</v>
      </c>
      <c r="E154" s="3" t="s">
        <v>319</v>
      </c>
      <c r="F154" s="3" t="s">
        <v>70</v>
      </c>
      <c r="G154" s="3" t="s">
        <v>148</v>
      </c>
      <c r="H154" s="3" t="s">
        <v>149</v>
      </c>
      <c r="I154" s="16"/>
      <c r="J154" s="147">
        <f>J155</f>
        <v>250000</v>
      </c>
      <c r="K154" s="147">
        <f t="shared" si="161"/>
        <v>250000</v>
      </c>
      <c r="L154" s="147">
        <f t="shared" si="161"/>
        <v>250000</v>
      </c>
      <c r="M154" s="147">
        <f t="shared" si="161"/>
        <v>0</v>
      </c>
      <c r="N154" s="147">
        <f t="shared" si="161"/>
        <v>0</v>
      </c>
      <c r="O154" s="147">
        <f t="shared" si="161"/>
        <v>0</v>
      </c>
      <c r="P154" s="147">
        <f t="shared" si="119"/>
        <v>250000</v>
      </c>
      <c r="Q154" s="147">
        <f t="shared" si="120"/>
        <v>250000</v>
      </c>
      <c r="R154" s="147">
        <f t="shared" si="121"/>
        <v>250000</v>
      </c>
      <c r="S154" s="147">
        <f t="shared" si="162"/>
        <v>315911.92</v>
      </c>
      <c r="T154" s="147">
        <f t="shared" si="162"/>
        <v>0</v>
      </c>
      <c r="U154" s="147">
        <f t="shared" si="162"/>
        <v>0</v>
      </c>
      <c r="V154" s="147">
        <f t="shared" si="163"/>
        <v>565911.91999999993</v>
      </c>
      <c r="W154" s="147">
        <f t="shared" si="164"/>
        <v>250000</v>
      </c>
      <c r="X154" s="147">
        <f t="shared" si="165"/>
        <v>250000</v>
      </c>
    </row>
    <row r="155" spans="1:24" s="148" customFormat="1">
      <c r="A155" s="2" t="s">
        <v>322</v>
      </c>
      <c r="B155" s="146" t="s">
        <v>42</v>
      </c>
      <c r="C155" s="3" t="s">
        <v>30</v>
      </c>
      <c r="D155" s="3" t="s">
        <v>16</v>
      </c>
      <c r="E155" s="3" t="s">
        <v>319</v>
      </c>
      <c r="F155" s="3" t="s">
        <v>70</v>
      </c>
      <c r="G155" s="3" t="s">
        <v>148</v>
      </c>
      <c r="H155" s="3" t="s">
        <v>320</v>
      </c>
      <c r="I155" s="16"/>
      <c r="J155" s="147">
        <f>J156</f>
        <v>250000</v>
      </c>
      <c r="K155" s="147">
        <f t="shared" si="161"/>
        <v>250000</v>
      </c>
      <c r="L155" s="147">
        <f t="shared" si="161"/>
        <v>250000</v>
      </c>
      <c r="M155" s="147">
        <f t="shared" si="161"/>
        <v>0</v>
      </c>
      <c r="N155" s="147">
        <f t="shared" si="161"/>
        <v>0</v>
      </c>
      <c r="O155" s="147">
        <f t="shared" si="161"/>
        <v>0</v>
      </c>
      <c r="P155" s="147">
        <f t="shared" si="119"/>
        <v>250000</v>
      </c>
      <c r="Q155" s="147">
        <f t="shared" si="120"/>
        <v>250000</v>
      </c>
      <c r="R155" s="147">
        <f t="shared" si="121"/>
        <v>250000</v>
      </c>
      <c r="S155" s="147">
        <f t="shared" si="162"/>
        <v>315911.92</v>
      </c>
      <c r="T155" s="147">
        <f t="shared" si="162"/>
        <v>0</v>
      </c>
      <c r="U155" s="147">
        <f t="shared" si="162"/>
        <v>0</v>
      </c>
      <c r="V155" s="147">
        <f t="shared" si="163"/>
        <v>565911.91999999993</v>
      </c>
      <c r="W155" s="147">
        <f t="shared" si="164"/>
        <v>250000</v>
      </c>
      <c r="X155" s="147">
        <f t="shared" si="165"/>
        <v>250000</v>
      </c>
    </row>
    <row r="156" spans="1:24" s="148" customFormat="1">
      <c r="A156" s="2" t="s">
        <v>100</v>
      </c>
      <c r="B156" s="146" t="s">
        <v>42</v>
      </c>
      <c r="C156" s="3" t="s">
        <v>30</v>
      </c>
      <c r="D156" s="3" t="s">
        <v>16</v>
      </c>
      <c r="E156" s="3" t="s">
        <v>319</v>
      </c>
      <c r="F156" s="3" t="s">
        <v>70</v>
      </c>
      <c r="G156" s="3" t="s">
        <v>148</v>
      </c>
      <c r="H156" s="3" t="s">
        <v>320</v>
      </c>
      <c r="I156" s="16" t="s">
        <v>99</v>
      </c>
      <c r="J156" s="147">
        <f>J157</f>
        <v>250000</v>
      </c>
      <c r="K156" s="147">
        <f t="shared" si="161"/>
        <v>250000</v>
      </c>
      <c r="L156" s="147">
        <f t="shared" si="161"/>
        <v>250000</v>
      </c>
      <c r="M156" s="147">
        <f t="shared" si="161"/>
        <v>0</v>
      </c>
      <c r="N156" s="147">
        <f t="shared" si="161"/>
        <v>0</v>
      </c>
      <c r="O156" s="147">
        <f t="shared" si="161"/>
        <v>0</v>
      </c>
      <c r="P156" s="147">
        <f t="shared" si="119"/>
        <v>250000</v>
      </c>
      <c r="Q156" s="147">
        <f t="shared" si="120"/>
        <v>250000</v>
      </c>
      <c r="R156" s="147">
        <f t="shared" si="121"/>
        <v>250000</v>
      </c>
      <c r="S156" s="147">
        <f t="shared" si="162"/>
        <v>315911.92</v>
      </c>
      <c r="T156" s="147">
        <f t="shared" si="162"/>
        <v>0</v>
      </c>
      <c r="U156" s="147">
        <f t="shared" si="162"/>
        <v>0</v>
      </c>
      <c r="V156" s="147">
        <f t="shared" si="163"/>
        <v>565911.91999999993</v>
      </c>
      <c r="W156" s="147">
        <f t="shared" si="164"/>
        <v>250000</v>
      </c>
      <c r="X156" s="147">
        <f t="shared" si="165"/>
        <v>250000</v>
      </c>
    </row>
    <row r="157" spans="1:24" s="148" customFormat="1" ht="25.5">
      <c r="A157" s="2" t="s">
        <v>106</v>
      </c>
      <c r="B157" s="146" t="s">
        <v>42</v>
      </c>
      <c r="C157" s="3" t="s">
        <v>30</v>
      </c>
      <c r="D157" s="3" t="s">
        <v>16</v>
      </c>
      <c r="E157" s="3" t="s">
        <v>319</v>
      </c>
      <c r="F157" s="3" t="s">
        <v>70</v>
      </c>
      <c r="G157" s="3" t="s">
        <v>148</v>
      </c>
      <c r="H157" s="3" t="s">
        <v>320</v>
      </c>
      <c r="I157" s="16" t="s">
        <v>107</v>
      </c>
      <c r="J157" s="147">
        <v>250000</v>
      </c>
      <c r="K157" s="147">
        <v>250000</v>
      </c>
      <c r="L157" s="147">
        <v>250000</v>
      </c>
      <c r="M157" s="147"/>
      <c r="N157" s="147"/>
      <c r="O157" s="147"/>
      <c r="P157" s="147">
        <f t="shared" si="119"/>
        <v>250000</v>
      </c>
      <c r="Q157" s="147">
        <f t="shared" si="120"/>
        <v>250000</v>
      </c>
      <c r="R157" s="147">
        <f t="shared" si="121"/>
        <v>250000</v>
      </c>
      <c r="S157" s="147">
        <v>315911.92</v>
      </c>
      <c r="T157" s="147"/>
      <c r="U157" s="147"/>
      <c r="V157" s="147">
        <f t="shared" si="163"/>
        <v>565911.91999999993</v>
      </c>
      <c r="W157" s="147">
        <f t="shared" si="164"/>
        <v>250000</v>
      </c>
      <c r="X157" s="147">
        <f t="shared" si="165"/>
        <v>250000</v>
      </c>
    </row>
    <row r="158" spans="1:24">
      <c r="A158" s="11"/>
      <c r="B158" s="48"/>
      <c r="C158" s="1"/>
      <c r="D158" s="1"/>
      <c r="E158" s="1"/>
      <c r="F158" s="1"/>
      <c r="G158" s="1"/>
      <c r="H158" s="1"/>
      <c r="I158" s="13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</row>
    <row r="159" spans="1:24" ht="15.75">
      <c r="A159" s="33" t="s">
        <v>4</v>
      </c>
      <c r="B159" s="29" t="s">
        <v>42</v>
      </c>
      <c r="C159" s="29" t="s">
        <v>19</v>
      </c>
      <c r="D159" s="1"/>
      <c r="E159" s="1"/>
      <c r="F159" s="1"/>
      <c r="G159" s="1"/>
      <c r="H159" s="1"/>
      <c r="I159" s="13"/>
      <c r="J159" s="100">
        <f>J160</f>
        <v>760000</v>
      </c>
      <c r="K159" s="100">
        <f t="shared" ref="K159:O160" si="166">K160</f>
        <v>760000</v>
      </c>
      <c r="L159" s="100">
        <f t="shared" si="166"/>
        <v>760000</v>
      </c>
      <c r="M159" s="100">
        <f t="shared" si="166"/>
        <v>0</v>
      </c>
      <c r="N159" s="100">
        <f t="shared" si="166"/>
        <v>0</v>
      </c>
      <c r="O159" s="100">
        <f t="shared" si="166"/>
        <v>0</v>
      </c>
      <c r="P159" s="100">
        <f t="shared" si="119"/>
        <v>760000</v>
      </c>
      <c r="Q159" s="100">
        <f t="shared" si="120"/>
        <v>760000</v>
      </c>
      <c r="R159" s="100">
        <f t="shared" si="121"/>
        <v>760000</v>
      </c>
      <c r="S159" s="100">
        <f t="shared" ref="S159:U160" si="167">S160</f>
        <v>300000</v>
      </c>
      <c r="T159" s="100">
        <f t="shared" si="167"/>
        <v>0</v>
      </c>
      <c r="U159" s="100">
        <f t="shared" si="167"/>
        <v>0</v>
      </c>
      <c r="V159" s="100">
        <f t="shared" ref="V159:V171" si="168">P159+S159</f>
        <v>1060000</v>
      </c>
      <c r="W159" s="100">
        <f t="shared" ref="W159:W171" si="169">Q159+T159</f>
        <v>760000</v>
      </c>
      <c r="X159" s="100">
        <f t="shared" ref="X159:X171" si="170">R159+U159</f>
        <v>760000</v>
      </c>
    </row>
    <row r="160" spans="1:24">
      <c r="A160" s="23" t="s">
        <v>51</v>
      </c>
      <c r="B160" s="14" t="s">
        <v>42</v>
      </c>
      <c r="C160" s="14" t="s">
        <v>19</v>
      </c>
      <c r="D160" s="14" t="s">
        <v>20</v>
      </c>
      <c r="E160" s="14"/>
      <c r="F160" s="14"/>
      <c r="G160" s="14"/>
      <c r="H160" s="14"/>
      <c r="I160" s="28"/>
      <c r="J160" s="101">
        <f>J161</f>
        <v>760000</v>
      </c>
      <c r="K160" s="101">
        <f t="shared" si="166"/>
        <v>760000</v>
      </c>
      <c r="L160" s="101">
        <f t="shared" si="166"/>
        <v>760000</v>
      </c>
      <c r="M160" s="101">
        <f t="shared" si="166"/>
        <v>0</v>
      </c>
      <c r="N160" s="101">
        <f t="shared" si="166"/>
        <v>0</v>
      </c>
      <c r="O160" s="101">
        <f t="shared" si="166"/>
        <v>0</v>
      </c>
      <c r="P160" s="101">
        <f t="shared" si="119"/>
        <v>760000</v>
      </c>
      <c r="Q160" s="101">
        <f t="shared" si="120"/>
        <v>760000</v>
      </c>
      <c r="R160" s="101">
        <f t="shared" si="121"/>
        <v>760000</v>
      </c>
      <c r="S160" s="101">
        <f t="shared" si="167"/>
        <v>300000</v>
      </c>
      <c r="T160" s="101">
        <f t="shared" si="167"/>
        <v>0</v>
      </c>
      <c r="U160" s="101">
        <f t="shared" si="167"/>
        <v>0</v>
      </c>
      <c r="V160" s="101">
        <f t="shared" si="168"/>
        <v>1060000</v>
      </c>
      <c r="W160" s="101">
        <f t="shared" si="169"/>
        <v>760000</v>
      </c>
      <c r="X160" s="101">
        <f t="shared" si="170"/>
        <v>760000</v>
      </c>
    </row>
    <row r="161" spans="1:24" ht="38.25">
      <c r="A161" s="2" t="s">
        <v>284</v>
      </c>
      <c r="B161" s="1" t="s">
        <v>42</v>
      </c>
      <c r="C161" s="1" t="s">
        <v>19</v>
      </c>
      <c r="D161" s="1" t="s">
        <v>20</v>
      </c>
      <c r="E161" s="1" t="s">
        <v>2</v>
      </c>
      <c r="F161" s="1" t="s">
        <v>70</v>
      </c>
      <c r="G161" s="1" t="s">
        <v>148</v>
      </c>
      <c r="H161" s="1" t="s">
        <v>149</v>
      </c>
      <c r="I161" s="13"/>
      <c r="J161" s="81">
        <f>J162+J167</f>
        <v>760000</v>
      </c>
      <c r="K161" s="81">
        <f t="shared" ref="K161:L161" si="171">K162+K167</f>
        <v>760000</v>
      </c>
      <c r="L161" s="81">
        <f t="shared" si="171"/>
        <v>760000</v>
      </c>
      <c r="M161" s="81">
        <f t="shared" ref="M161:O161" si="172">M162+M167</f>
        <v>0</v>
      </c>
      <c r="N161" s="81">
        <f t="shared" si="172"/>
        <v>0</v>
      </c>
      <c r="O161" s="81">
        <f t="shared" si="172"/>
        <v>0</v>
      </c>
      <c r="P161" s="81">
        <f t="shared" si="119"/>
        <v>760000</v>
      </c>
      <c r="Q161" s="81">
        <f t="shared" si="120"/>
        <v>760000</v>
      </c>
      <c r="R161" s="81">
        <f t="shared" si="121"/>
        <v>760000</v>
      </c>
      <c r="S161" s="81">
        <f>+S172+S162+S167</f>
        <v>300000</v>
      </c>
      <c r="T161" s="81">
        <f t="shared" ref="T161:U161" si="173">+T172+T162+T167</f>
        <v>0</v>
      </c>
      <c r="U161" s="81">
        <f t="shared" si="173"/>
        <v>0</v>
      </c>
      <c r="V161" s="81">
        <f t="shared" si="168"/>
        <v>1060000</v>
      </c>
      <c r="W161" s="81">
        <f t="shared" si="169"/>
        <v>760000</v>
      </c>
      <c r="X161" s="81">
        <f t="shared" si="170"/>
        <v>760000</v>
      </c>
    </row>
    <row r="162" spans="1:24">
      <c r="A162" s="2" t="s">
        <v>382</v>
      </c>
      <c r="B162" s="1" t="s">
        <v>42</v>
      </c>
      <c r="C162" s="1" t="s">
        <v>19</v>
      </c>
      <c r="D162" s="1" t="s">
        <v>20</v>
      </c>
      <c r="E162" s="1" t="s">
        <v>2</v>
      </c>
      <c r="F162" s="1" t="s">
        <v>70</v>
      </c>
      <c r="G162" s="1" t="s">
        <v>148</v>
      </c>
      <c r="H162" s="1" t="s">
        <v>159</v>
      </c>
      <c r="I162" s="13"/>
      <c r="J162" s="81">
        <f>J163+J165</f>
        <v>590000</v>
      </c>
      <c r="K162" s="81">
        <f t="shared" ref="K162:L162" si="174">K163+K165</f>
        <v>590000</v>
      </c>
      <c r="L162" s="81">
        <f t="shared" si="174"/>
        <v>590000</v>
      </c>
      <c r="M162" s="81">
        <f t="shared" ref="M162:O162" si="175">M163+M165</f>
        <v>0</v>
      </c>
      <c r="N162" s="81">
        <f t="shared" si="175"/>
        <v>0</v>
      </c>
      <c r="O162" s="81">
        <f t="shared" si="175"/>
        <v>0</v>
      </c>
      <c r="P162" s="81">
        <f t="shared" si="119"/>
        <v>590000</v>
      </c>
      <c r="Q162" s="81">
        <f t="shared" si="120"/>
        <v>590000</v>
      </c>
      <c r="R162" s="81">
        <f t="shared" si="121"/>
        <v>590000</v>
      </c>
      <c r="S162" s="81">
        <f t="shared" ref="S162:U162" si="176">S163+S165</f>
        <v>-70000</v>
      </c>
      <c r="T162" s="81">
        <f t="shared" si="176"/>
        <v>0</v>
      </c>
      <c r="U162" s="81">
        <f t="shared" si="176"/>
        <v>0</v>
      </c>
      <c r="V162" s="81">
        <f t="shared" si="168"/>
        <v>520000</v>
      </c>
      <c r="W162" s="81">
        <f t="shared" si="169"/>
        <v>590000</v>
      </c>
      <c r="X162" s="81">
        <f t="shared" si="170"/>
        <v>590000</v>
      </c>
    </row>
    <row r="163" spans="1:24" ht="25.5">
      <c r="A163" s="78" t="s">
        <v>260</v>
      </c>
      <c r="B163" s="1" t="s">
        <v>42</v>
      </c>
      <c r="C163" s="1" t="s">
        <v>19</v>
      </c>
      <c r="D163" s="1" t="s">
        <v>20</v>
      </c>
      <c r="E163" s="1" t="s">
        <v>2</v>
      </c>
      <c r="F163" s="1" t="s">
        <v>70</v>
      </c>
      <c r="G163" s="1" t="s">
        <v>148</v>
      </c>
      <c r="H163" s="1" t="s">
        <v>159</v>
      </c>
      <c r="I163" s="13" t="s">
        <v>94</v>
      </c>
      <c r="J163" s="81">
        <f>J164</f>
        <v>560000</v>
      </c>
      <c r="K163" s="81">
        <f t="shared" ref="K163:O163" si="177">K164</f>
        <v>560000</v>
      </c>
      <c r="L163" s="81">
        <f t="shared" si="177"/>
        <v>560000</v>
      </c>
      <c r="M163" s="81">
        <f t="shared" si="177"/>
        <v>0</v>
      </c>
      <c r="N163" s="81">
        <f t="shared" si="177"/>
        <v>0</v>
      </c>
      <c r="O163" s="81">
        <f t="shared" si="177"/>
        <v>0</v>
      </c>
      <c r="P163" s="81">
        <f t="shared" si="119"/>
        <v>560000</v>
      </c>
      <c r="Q163" s="81">
        <f t="shared" si="120"/>
        <v>560000</v>
      </c>
      <c r="R163" s="81">
        <f t="shared" si="121"/>
        <v>560000</v>
      </c>
      <c r="S163" s="81">
        <f t="shared" ref="S163:U163" si="178">S164</f>
        <v>-120000</v>
      </c>
      <c r="T163" s="81">
        <f t="shared" si="178"/>
        <v>0</v>
      </c>
      <c r="U163" s="81">
        <f t="shared" si="178"/>
        <v>0</v>
      </c>
      <c r="V163" s="81">
        <f t="shared" si="168"/>
        <v>440000</v>
      </c>
      <c r="W163" s="81">
        <f t="shared" si="169"/>
        <v>560000</v>
      </c>
      <c r="X163" s="81">
        <f t="shared" si="170"/>
        <v>560000</v>
      </c>
    </row>
    <row r="164" spans="1:24" ht="25.5">
      <c r="A164" s="77" t="s">
        <v>98</v>
      </c>
      <c r="B164" s="1" t="s">
        <v>42</v>
      </c>
      <c r="C164" s="1" t="s">
        <v>19</v>
      </c>
      <c r="D164" s="1" t="s">
        <v>20</v>
      </c>
      <c r="E164" s="1" t="s">
        <v>2</v>
      </c>
      <c r="F164" s="1" t="s">
        <v>70</v>
      </c>
      <c r="G164" s="1" t="s">
        <v>148</v>
      </c>
      <c r="H164" s="1" t="s">
        <v>159</v>
      </c>
      <c r="I164" s="13" t="s">
        <v>95</v>
      </c>
      <c r="J164" s="81">
        <v>560000</v>
      </c>
      <c r="K164" s="81">
        <v>560000</v>
      </c>
      <c r="L164" s="81">
        <v>560000</v>
      </c>
      <c r="M164" s="81"/>
      <c r="N164" s="81"/>
      <c r="O164" s="81"/>
      <c r="P164" s="81">
        <f t="shared" si="119"/>
        <v>560000</v>
      </c>
      <c r="Q164" s="81">
        <f t="shared" si="120"/>
        <v>560000</v>
      </c>
      <c r="R164" s="81">
        <f t="shared" si="121"/>
        <v>560000</v>
      </c>
      <c r="S164" s="81">
        <v>-120000</v>
      </c>
      <c r="T164" s="81"/>
      <c r="U164" s="81"/>
      <c r="V164" s="81">
        <f t="shared" si="168"/>
        <v>440000</v>
      </c>
      <c r="W164" s="81">
        <f t="shared" si="169"/>
        <v>560000</v>
      </c>
      <c r="X164" s="81">
        <f t="shared" si="170"/>
        <v>560000</v>
      </c>
    </row>
    <row r="165" spans="1:24">
      <c r="A165" s="9" t="s">
        <v>100</v>
      </c>
      <c r="B165" s="1" t="s">
        <v>42</v>
      </c>
      <c r="C165" s="1" t="s">
        <v>19</v>
      </c>
      <c r="D165" s="1" t="s">
        <v>20</v>
      </c>
      <c r="E165" s="1" t="s">
        <v>2</v>
      </c>
      <c r="F165" s="1" t="s">
        <v>70</v>
      </c>
      <c r="G165" s="1" t="s">
        <v>148</v>
      </c>
      <c r="H165" s="1" t="s">
        <v>159</v>
      </c>
      <c r="I165" s="13" t="s">
        <v>99</v>
      </c>
      <c r="J165" s="81">
        <f>J166</f>
        <v>30000</v>
      </c>
      <c r="K165" s="81">
        <f t="shared" ref="K165:O165" si="179">K166</f>
        <v>30000</v>
      </c>
      <c r="L165" s="81">
        <f t="shared" si="179"/>
        <v>30000</v>
      </c>
      <c r="M165" s="81">
        <f t="shared" si="179"/>
        <v>0</v>
      </c>
      <c r="N165" s="81">
        <f t="shared" si="179"/>
        <v>0</v>
      </c>
      <c r="O165" s="81">
        <f t="shared" si="179"/>
        <v>0</v>
      </c>
      <c r="P165" s="81">
        <f t="shared" si="119"/>
        <v>30000</v>
      </c>
      <c r="Q165" s="81">
        <f t="shared" si="120"/>
        <v>30000</v>
      </c>
      <c r="R165" s="81">
        <f t="shared" si="121"/>
        <v>30000</v>
      </c>
      <c r="S165" s="81">
        <f t="shared" ref="S165:U165" si="180">S166</f>
        <v>50000</v>
      </c>
      <c r="T165" s="81">
        <f t="shared" si="180"/>
        <v>0</v>
      </c>
      <c r="U165" s="81">
        <f t="shared" si="180"/>
        <v>0</v>
      </c>
      <c r="V165" s="81">
        <f t="shared" si="168"/>
        <v>80000</v>
      </c>
      <c r="W165" s="81">
        <f t="shared" si="169"/>
        <v>30000</v>
      </c>
      <c r="X165" s="81">
        <f t="shared" si="170"/>
        <v>30000</v>
      </c>
    </row>
    <row r="166" spans="1:24" ht="14.25" customHeight="1">
      <c r="A166" s="58" t="s">
        <v>223</v>
      </c>
      <c r="B166" s="1" t="s">
        <v>42</v>
      </c>
      <c r="C166" s="1" t="s">
        <v>19</v>
      </c>
      <c r="D166" s="1" t="s">
        <v>20</v>
      </c>
      <c r="E166" s="1" t="s">
        <v>2</v>
      </c>
      <c r="F166" s="1" t="s">
        <v>70</v>
      </c>
      <c r="G166" s="1" t="s">
        <v>148</v>
      </c>
      <c r="H166" s="1" t="s">
        <v>159</v>
      </c>
      <c r="I166" s="13" t="s">
        <v>222</v>
      </c>
      <c r="J166" s="81">
        <v>30000</v>
      </c>
      <c r="K166" s="81">
        <v>30000</v>
      </c>
      <c r="L166" s="81">
        <v>30000</v>
      </c>
      <c r="M166" s="81"/>
      <c r="N166" s="81"/>
      <c r="O166" s="81"/>
      <c r="P166" s="81">
        <f t="shared" si="119"/>
        <v>30000</v>
      </c>
      <c r="Q166" s="81">
        <f t="shared" si="120"/>
        <v>30000</v>
      </c>
      <c r="R166" s="81">
        <f t="shared" si="121"/>
        <v>30000</v>
      </c>
      <c r="S166" s="81">
        <v>50000</v>
      </c>
      <c r="T166" s="81"/>
      <c r="U166" s="81"/>
      <c r="V166" s="81">
        <f t="shared" si="168"/>
        <v>80000</v>
      </c>
      <c r="W166" s="81">
        <f t="shared" si="169"/>
        <v>30000</v>
      </c>
      <c r="X166" s="81">
        <f t="shared" si="170"/>
        <v>30000</v>
      </c>
    </row>
    <row r="167" spans="1:24">
      <c r="A167" s="2" t="s">
        <v>137</v>
      </c>
      <c r="B167" s="1" t="s">
        <v>42</v>
      </c>
      <c r="C167" s="1" t="s">
        <v>19</v>
      </c>
      <c r="D167" s="1" t="s">
        <v>20</v>
      </c>
      <c r="E167" s="1" t="s">
        <v>2</v>
      </c>
      <c r="F167" s="1" t="s">
        <v>70</v>
      </c>
      <c r="G167" s="1" t="s">
        <v>148</v>
      </c>
      <c r="H167" s="1" t="s">
        <v>160</v>
      </c>
      <c r="I167" s="13"/>
      <c r="J167" s="81">
        <f>J168+J170</f>
        <v>170000</v>
      </c>
      <c r="K167" s="81">
        <f t="shared" ref="K167:L167" si="181">K168+K170</f>
        <v>170000</v>
      </c>
      <c r="L167" s="81">
        <f t="shared" si="181"/>
        <v>170000</v>
      </c>
      <c r="M167" s="81">
        <f t="shared" ref="M167:O167" si="182">M168+M170</f>
        <v>0</v>
      </c>
      <c r="N167" s="81">
        <f t="shared" si="182"/>
        <v>0</v>
      </c>
      <c r="O167" s="81">
        <f t="shared" si="182"/>
        <v>0</v>
      </c>
      <c r="P167" s="81">
        <f t="shared" si="119"/>
        <v>170000</v>
      </c>
      <c r="Q167" s="81">
        <f t="shared" si="120"/>
        <v>170000</v>
      </c>
      <c r="R167" s="81">
        <f t="shared" si="121"/>
        <v>170000</v>
      </c>
      <c r="S167" s="81">
        <f t="shared" ref="S167:U167" si="183">S168+S170</f>
        <v>70000</v>
      </c>
      <c r="T167" s="81">
        <f t="shared" si="183"/>
        <v>0</v>
      </c>
      <c r="U167" s="81">
        <f t="shared" si="183"/>
        <v>0</v>
      </c>
      <c r="V167" s="81">
        <f t="shared" si="168"/>
        <v>240000</v>
      </c>
      <c r="W167" s="81">
        <f t="shared" si="169"/>
        <v>170000</v>
      </c>
      <c r="X167" s="81">
        <f t="shared" si="170"/>
        <v>170000</v>
      </c>
    </row>
    <row r="168" spans="1:24" ht="25.5">
      <c r="A168" s="78" t="s">
        <v>260</v>
      </c>
      <c r="B168" s="1" t="s">
        <v>42</v>
      </c>
      <c r="C168" s="1" t="s">
        <v>19</v>
      </c>
      <c r="D168" s="1" t="s">
        <v>20</v>
      </c>
      <c r="E168" s="1" t="s">
        <v>2</v>
      </c>
      <c r="F168" s="1" t="s">
        <v>70</v>
      </c>
      <c r="G168" s="1" t="s">
        <v>148</v>
      </c>
      <c r="H168" s="1" t="s">
        <v>160</v>
      </c>
      <c r="I168" s="13" t="s">
        <v>94</v>
      </c>
      <c r="J168" s="81">
        <f>J169</f>
        <v>120000</v>
      </c>
      <c r="K168" s="81">
        <f t="shared" ref="K168:O168" si="184">K169</f>
        <v>120000</v>
      </c>
      <c r="L168" s="81">
        <f t="shared" si="184"/>
        <v>120000</v>
      </c>
      <c r="M168" s="81">
        <f t="shared" si="184"/>
        <v>0</v>
      </c>
      <c r="N168" s="81">
        <f t="shared" si="184"/>
        <v>0</v>
      </c>
      <c r="O168" s="81">
        <f t="shared" si="184"/>
        <v>0</v>
      </c>
      <c r="P168" s="81">
        <f t="shared" si="119"/>
        <v>120000</v>
      </c>
      <c r="Q168" s="81">
        <f t="shared" si="120"/>
        <v>120000</v>
      </c>
      <c r="R168" s="81">
        <f t="shared" si="121"/>
        <v>120000</v>
      </c>
      <c r="S168" s="81">
        <f t="shared" ref="S168:U168" si="185">S169</f>
        <v>50000</v>
      </c>
      <c r="T168" s="81">
        <f t="shared" si="185"/>
        <v>0</v>
      </c>
      <c r="U168" s="81">
        <f t="shared" si="185"/>
        <v>0</v>
      </c>
      <c r="V168" s="81">
        <f t="shared" si="168"/>
        <v>170000</v>
      </c>
      <c r="W168" s="81">
        <f t="shared" si="169"/>
        <v>120000</v>
      </c>
      <c r="X168" s="81">
        <f t="shared" si="170"/>
        <v>120000</v>
      </c>
    </row>
    <row r="169" spans="1:24" ht="25.5">
      <c r="A169" s="77" t="s">
        <v>98</v>
      </c>
      <c r="B169" s="1" t="s">
        <v>42</v>
      </c>
      <c r="C169" s="1" t="s">
        <v>19</v>
      </c>
      <c r="D169" s="1" t="s">
        <v>20</v>
      </c>
      <c r="E169" s="1" t="s">
        <v>2</v>
      </c>
      <c r="F169" s="1" t="s">
        <v>70</v>
      </c>
      <c r="G169" s="1" t="s">
        <v>148</v>
      </c>
      <c r="H169" s="1" t="s">
        <v>160</v>
      </c>
      <c r="I169" s="13" t="s">
        <v>95</v>
      </c>
      <c r="J169" s="81">
        <v>120000</v>
      </c>
      <c r="K169" s="81">
        <v>120000</v>
      </c>
      <c r="L169" s="81">
        <v>120000</v>
      </c>
      <c r="M169" s="81"/>
      <c r="N169" s="81"/>
      <c r="O169" s="81"/>
      <c r="P169" s="81">
        <f t="shared" si="119"/>
        <v>120000</v>
      </c>
      <c r="Q169" s="81">
        <f t="shared" si="120"/>
        <v>120000</v>
      </c>
      <c r="R169" s="81">
        <f t="shared" si="121"/>
        <v>120000</v>
      </c>
      <c r="S169" s="81">
        <v>50000</v>
      </c>
      <c r="T169" s="81"/>
      <c r="U169" s="81"/>
      <c r="V169" s="81">
        <f t="shared" si="168"/>
        <v>170000</v>
      </c>
      <c r="W169" s="81">
        <f t="shared" si="169"/>
        <v>120000</v>
      </c>
      <c r="X169" s="81">
        <f t="shared" si="170"/>
        <v>120000</v>
      </c>
    </row>
    <row r="170" spans="1:24">
      <c r="A170" s="9" t="s">
        <v>100</v>
      </c>
      <c r="B170" s="1" t="s">
        <v>42</v>
      </c>
      <c r="C170" s="1" t="s">
        <v>19</v>
      </c>
      <c r="D170" s="1" t="s">
        <v>20</v>
      </c>
      <c r="E170" s="1" t="s">
        <v>2</v>
      </c>
      <c r="F170" s="1" t="s">
        <v>70</v>
      </c>
      <c r="G170" s="1" t="s">
        <v>148</v>
      </c>
      <c r="H170" s="1" t="s">
        <v>160</v>
      </c>
      <c r="I170" s="13" t="s">
        <v>99</v>
      </c>
      <c r="J170" s="81">
        <f>J171</f>
        <v>50000</v>
      </c>
      <c r="K170" s="81">
        <f t="shared" ref="K170:O170" si="186">K171</f>
        <v>50000</v>
      </c>
      <c r="L170" s="81">
        <f t="shared" si="186"/>
        <v>50000</v>
      </c>
      <c r="M170" s="81">
        <f t="shared" si="186"/>
        <v>0</v>
      </c>
      <c r="N170" s="81">
        <f t="shared" si="186"/>
        <v>0</v>
      </c>
      <c r="O170" s="81">
        <f t="shared" si="186"/>
        <v>0</v>
      </c>
      <c r="P170" s="81">
        <f t="shared" si="119"/>
        <v>50000</v>
      </c>
      <c r="Q170" s="81">
        <f t="shared" si="120"/>
        <v>50000</v>
      </c>
      <c r="R170" s="81">
        <f t="shared" si="121"/>
        <v>50000</v>
      </c>
      <c r="S170" s="81">
        <f t="shared" ref="S170:U170" si="187">S171</f>
        <v>20000</v>
      </c>
      <c r="T170" s="81">
        <f t="shared" si="187"/>
        <v>0</v>
      </c>
      <c r="U170" s="81">
        <f t="shared" si="187"/>
        <v>0</v>
      </c>
      <c r="V170" s="81">
        <f t="shared" si="168"/>
        <v>70000</v>
      </c>
      <c r="W170" s="81">
        <f t="shared" si="169"/>
        <v>50000</v>
      </c>
      <c r="X170" s="81">
        <f t="shared" si="170"/>
        <v>50000</v>
      </c>
    </row>
    <row r="171" spans="1:24">
      <c r="A171" s="58" t="s">
        <v>223</v>
      </c>
      <c r="B171" s="1" t="s">
        <v>42</v>
      </c>
      <c r="C171" s="1" t="s">
        <v>19</v>
      </c>
      <c r="D171" s="1" t="s">
        <v>20</v>
      </c>
      <c r="E171" s="1" t="s">
        <v>2</v>
      </c>
      <c r="F171" s="1" t="s">
        <v>70</v>
      </c>
      <c r="G171" s="1" t="s">
        <v>148</v>
      </c>
      <c r="H171" s="1" t="s">
        <v>160</v>
      </c>
      <c r="I171" s="13" t="s">
        <v>222</v>
      </c>
      <c r="J171" s="81">
        <v>50000</v>
      </c>
      <c r="K171" s="81">
        <v>50000</v>
      </c>
      <c r="L171" s="81">
        <v>50000</v>
      </c>
      <c r="M171" s="81"/>
      <c r="N171" s="81"/>
      <c r="O171" s="81"/>
      <c r="P171" s="81">
        <f t="shared" si="119"/>
        <v>50000</v>
      </c>
      <c r="Q171" s="81">
        <f t="shared" si="120"/>
        <v>50000</v>
      </c>
      <c r="R171" s="81">
        <f t="shared" si="121"/>
        <v>50000</v>
      </c>
      <c r="S171" s="81">
        <v>20000</v>
      </c>
      <c r="T171" s="81"/>
      <c r="U171" s="81"/>
      <c r="V171" s="81">
        <f t="shared" si="168"/>
        <v>70000</v>
      </c>
      <c r="W171" s="81">
        <f t="shared" si="169"/>
        <v>50000</v>
      </c>
      <c r="X171" s="81">
        <f t="shared" si="170"/>
        <v>50000</v>
      </c>
    </row>
    <row r="172" spans="1:24">
      <c r="A172" s="58" t="s">
        <v>240</v>
      </c>
      <c r="B172" s="1" t="s">
        <v>42</v>
      </c>
      <c r="C172" s="1" t="s">
        <v>19</v>
      </c>
      <c r="D172" s="1" t="s">
        <v>20</v>
      </c>
      <c r="E172" s="1" t="s">
        <v>2</v>
      </c>
      <c r="F172" s="1" t="s">
        <v>70</v>
      </c>
      <c r="G172" s="1" t="s">
        <v>148</v>
      </c>
      <c r="H172" s="1" t="s">
        <v>241</v>
      </c>
      <c r="I172" s="13"/>
      <c r="J172" s="81"/>
      <c r="K172" s="81"/>
      <c r="L172" s="81"/>
      <c r="M172" s="81"/>
      <c r="N172" s="81"/>
      <c r="O172" s="81"/>
      <c r="P172" s="81"/>
      <c r="Q172" s="81"/>
      <c r="R172" s="81"/>
      <c r="S172" s="81">
        <f>S173+S175</f>
        <v>300000</v>
      </c>
      <c r="T172" s="81">
        <f t="shared" ref="T172:U172" si="188">T173+T175</f>
        <v>0</v>
      </c>
      <c r="U172" s="81">
        <f t="shared" si="188"/>
        <v>0</v>
      </c>
      <c r="V172" s="81">
        <f t="shared" ref="V172:V176" si="189">P172+S172</f>
        <v>300000</v>
      </c>
      <c r="W172" s="81">
        <f t="shared" ref="W172:W176" si="190">Q172+T172</f>
        <v>0</v>
      </c>
      <c r="X172" s="81">
        <f t="shared" ref="X172:X176" si="191">R172+U172</f>
        <v>0</v>
      </c>
    </row>
    <row r="173" spans="1:24" ht="25.5">
      <c r="A173" s="78" t="s">
        <v>260</v>
      </c>
      <c r="B173" s="1" t="s">
        <v>42</v>
      </c>
      <c r="C173" s="1" t="s">
        <v>19</v>
      </c>
      <c r="D173" s="1" t="s">
        <v>20</v>
      </c>
      <c r="E173" s="1" t="s">
        <v>2</v>
      </c>
      <c r="F173" s="1" t="s">
        <v>70</v>
      </c>
      <c r="G173" s="1" t="s">
        <v>148</v>
      </c>
      <c r="H173" s="1" t="s">
        <v>241</v>
      </c>
      <c r="I173" s="13" t="s">
        <v>94</v>
      </c>
      <c r="J173" s="81"/>
      <c r="K173" s="81"/>
      <c r="L173" s="81"/>
      <c r="M173" s="81"/>
      <c r="N173" s="81"/>
      <c r="O173" s="81"/>
      <c r="P173" s="81"/>
      <c r="Q173" s="81"/>
      <c r="R173" s="81"/>
      <c r="S173" s="81">
        <f>S174</f>
        <v>140000</v>
      </c>
      <c r="T173" s="81">
        <f t="shared" ref="T173:U173" si="192">T174</f>
        <v>0</v>
      </c>
      <c r="U173" s="81">
        <f t="shared" si="192"/>
        <v>0</v>
      </c>
      <c r="V173" s="81">
        <f t="shared" si="189"/>
        <v>140000</v>
      </c>
      <c r="W173" s="81">
        <f t="shared" si="190"/>
        <v>0</v>
      </c>
      <c r="X173" s="81">
        <f t="shared" si="191"/>
        <v>0</v>
      </c>
    </row>
    <row r="174" spans="1:24" ht="25.5">
      <c r="A174" s="77" t="s">
        <v>98</v>
      </c>
      <c r="B174" s="1" t="s">
        <v>42</v>
      </c>
      <c r="C174" s="1" t="s">
        <v>19</v>
      </c>
      <c r="D174" s="1" t="s">
        <v>20</v>
      </c>
      <c r="E174" s="1" t="s">
        <v>2</v>
      </c>
      <c r="F174" s="1" t="s">
        <v>70</v>
      </c>
      <c r="G174" s="1" t="s">
        <v>148</v>
      </c>
      <c r="H174" s="1" t="s">
        <v>241</v>
      </c>
      <c r="I174" s="13" t="s">
        <v>95</v>
      </c>
      <c r="J174" s="81"/>
      <c r="K174" s="81"/>
      <c r="L174" s="81"/>
      <c r="M174" s="81"/>
      <c r="N174" s="81"/>
      <c r="O174" s="81"/>
      <c r="P174" s="81"/>
      <c r="Q174" s="81"/>
      <c r="R174" s="81"/>
      <c r="S174" s="81">
        <v>140000</v>
      </c>
      <c r="T174" s="81"/>
      <c r="U174" s="81"/>
      <c r="V174" s="81">
        <f t="shared" si="189"/>
        <v>140000</v>
      </c>
      <c r="W174" s="81">
        <f t="shared" si="190"/>
        <v>0</v>
      </c>
      <c r="X174" s="81">
        <f t="shared" si="191"/>
        <v>0</v>
      </c>
    </row>
    <row r="175" spans="1:24">
      <c r="A175" s="9" t="s">
        <v>100</v>
      </c>
      <c r="B175" s="1" t="s">
        <v>42</v>
      </c>
      <c r="C175" s="1" t="s">
        <v>19</v>
      </c>
      <c r="D175" s="1" t="s">
        <v>20</v>
      </c>
      <c r="E175" s="1" t="s">
        <v>2</v>
      </c>
      <c r="F175" s="1" t="s">
        <v>70</v>
      </c>
      <c r="G175" s="1" t="s">
        <v>148</v>
      </c>
      <c r="H175" s="1" t="s">
        <v>241</v>
      </c>
      <c r="I175" s="13" t="s">
        <v>99</v>
      </c>
      <c r="J175" s="81"/>
      <c r="K175" s="81"/>
      <c r="L175" s="81"/>
      <c r="M175" s="81"/>
      <c r="N175" s="81"/>
      <c r="O175" s="81"/>
      <c r="P175" s="81"/>
      <c r="Q175" s="81"/>
      <c r="R175" s="81"/>
      <c r="S175" s="81">
        <f>S176</f>
        <v>160000</v>
      </c>
      <c r="T175" s="81">
        <f t="shared" ref="T175:U175" si="193">T176</f>
        <v>0</v>
      </c>
      <c r="U175" s="81">
        <f t="shared" si="193"/>
        <v>0</v>
      </c>
      <c r="V175" s="81">
        <f t="shared" si="189"/>
        <v>160000</v>
      </c>
      <c r="W175" s="81">
        <f t="shared" si="190"/>
        <v>0</v>
      </c>
      <c r="X175" s="81">
        <f t="shared" si="191"/>
        <v>0</v>
      </c>
    </row>
    <row r="176" spans="1:24">
      <c r="A176" s="58" t="s">
        <v>223</v>
      </c>
      <c r="B176" s="1" t="s">
        <v>42</v>
      </c>
      <c r="C176" s="1" t="s">
        <v>19</v>
      </c>
      <c r="D176" s="1" t="s">
        <v>20</v>
      </c>
      <c r="E176" s="1" t="s">
        <v>2</v>
      </c>
      <c r="F176" s="1" t="s">
        <v>70</v>
      </c>
      <c r="G176" s="1" t="s">
        <v>148</v>
      </c>
      <c r="H176" s="1" t="s">
        <v>241</v>
      </c>
      <c r="I176" s="13" t="s">
        <v>222</v>
      </c>
      <c r="J176" s="81"/>
      <c r="K176" s="81"/>
      <c r="L176" s="81"/>
      <c r="M176" s="81"/>
      <c r="N176" s="81"/>
      <c r="O176" s="81"/>
      <c r="P176" s="81"/>
      <c r="Q176" s="81"/>
      <c r="R176" s="81"/>
      <c r="S176" s="81">
        <v>160000</v>
      </c>
      <c r="T176" s="81"/>
      <c r="U176" s="81"/>
      <c r="V176" s="81">
        <f t="shared" si="189"/>
        <v>160000</v>
      </c>
      <c r="W176" s="81">
        <f t="shared" si="190"/>
        <v>0</v>
      </c>
      <c r="X176" s="81">
        <f t="shared" si="191"/>
        <v>0</v>
      </c>
    </row>
    <row r="177" spans="1:24">
      <c r="A177" s="58"/>
      <c r="B177" s="1"/>
      <c r="C177" s="1"/>
      <c r="D177" s="1"/>
      <c r="E177" s="1"/>
      <c r="F177" s="1"/>
      <c r="G177" s="1"/>
      <c r="H177" s="1"/>
      <c r="I177" s="13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</row>
    <row r="178" spans="1:24">
      <c r="A178" s="77"/>
      <c r="B178" s="1"/>
      <c r="C178" s="1"/>
      <c r="D178" s="1"/>
      <c r="E178" s="1"/>
      <c r="F178" s="1"/>
      <c r="G178" s="1"/>
      <c r="H178" s="1"/>
      <c r="I178" s="13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</row>
    <row r="179" spans="1:24" ht="25.5">
      <c r="A179" s="47" t="s">
        <v>406</v>
      </c>
      <c r="B179" s="46" t="s">
        <v>41</v>
      </c>
      <c r="C179" s="44"/>
      <c r="D179" s="44"/>
      <c r="E179" s="44"/>
      <c r="F179" s="44"/>
      <c r="G179" s="44"/>
      <c r="H179" s="45"/>
      <c r="I179" s="43"/>
      <c r="J179" s="99">
        <f>J180+J322</f>
        <v>460910544.26000005</v>
      </c>
      <c r="K179" s="99">
        <f>K180+K322</f>
        <v>448643638.92000002</v>
      </c>
      <c r="L179" s="99">
        <f>L180+L322</f>
        <v>456413249.13000005</v>
      </c>
      <c r="M179" s="99">
        <f t="shared" ref="M179:O179" si="194">M180+M322</f>
        <v>-1457932.68</v>
      </c>
      <c r="N179" s="99">
        <f t="shared" si="194"/>
        <v>-1310527.17</v>
      </c>
      <c r="O179" s="99">
        <f t="shared" si="194"/>
        <v>-1450700.4300000002</v>
      </c>
      <c r="P179" s="99">
        <f t="shared" si="119"/>
        <v>459452611.58000004</v>
      </c>
      <c r="Q179" s="99">
        <f t="shared" si="120"/>
        <v>447333111.75</v>
      </c>
      <c r="R179" s="99">
        <f t="shared" si="121"/>
        <v>454962548.70000005</v>
      </c>
      <c r="S179" s="99">
        <f t="shared" ref="S179:U179" si="195">S180+S322</f>
        <v>4756209.7</v>
      </c>
      <c r="T179" s="99">
        <f t="shared" si="195"/>
        <v>293866.65999999997</v>
      </c>
      <c r="U179" s="99">
        <f t="shared" si="195"/>
        <v>278194.39</v>
      </c>
      <c r="V179" s="99">
        <f t="shared" ref="V179:V198" si="196">P179+S179</f>
        <v>464208821.28000003</v>
      </c>
      <c r="W179" s="99">
        <f t="shared" ref="W179:W198" si="197">Q179+T179</f>
        <v>447626978.41000003</v>
      </c>
      <c r="X179" s="99">
        <f t="shared" ref="X179:X198" si="198">R179+U179</f>
        <v>455240743.09000003</v>
      </c>
    </row>
    <row r="180" spans="1:24" ht="15.75">
      <c r="A180" s="24" t="s">
        <v>24</v>
      </c>
      <c r="B180" s="29" t="s">
        <v>41</v>
      </c>
      <c r="C180" s="29" t="s">
        <v>2</v>
      </c>
      <c r="D180" s="30"/>
      <c r="E180" s="30"/>
      <c r="F180" s="30"/>
      <c r="G180" s="30"/>
      <c r="H180" s="30"/>
      <c r="I180" s="31"/>
      <c r="J180" s="100">
        <f>J181+J200+J236+J270+J292</f>
        <v>450870261.85000002</v>
      </c>
      <c r="K180" s="100">
        <f>K181+K200+K236+K270+K292</f>
        <v>438599534.38</v>
      </c>
      <c r="L180" s="100">
        <f>L181+L200+L236+L270+L292</f>
        <v>446088779.53000003</v>
      </c>
      <c r="M180" s="100">
        <f t="shared" ref="M180:O180" si="199">M181+M200+M236+M270+M292</f>
        <v>-1571950.78</v>
      </c>
      <c r="N180" s="100">
        <f t="shared" si="199"/>
        <v>-1221415.03</v>
      </c>
      <c r="O180" s="100">
        <f t="shared" si="199"/>
        <v>-1080309.6800000002</v>
      </c>
      <c r="P180" s="100">
        <f t="shared" si="119"/>
        <v>449298311.07000005</v>
      </c>
      <c r="Q180" s="100">
        <f t="shared" si="120"/>
        <v>437378119.35000002</v>
      </c>
      <c r="R180" s="100">
        <f t="shared" si="121"/>
        <v>445008469.85000002</v>
      </c>
      <c r="S180" s="100">
        <f t="shared" ref="S180:U180" si="200">S181+S200+S236+S270+S292</f>
        <v>4439069.4000000004</v>
      </c>
      <c r="T180" s="100">
        <f t="shared" si="200"/>
        <v>0</v>
      </c>
      <c r="U180" s="100">
        <f t="shared" si="200"/>
        <v>0</v>
      </c>
      <c r="V180" s="100">
        <f t="shared" si="196"/>
        <v>453737380.47000003</v>
      </c>
      <c r="W180" s="100">
        <f t="shared" si="197"/>
        <v>437378119.35000002</v>
      </c>
      <c r="X180" s="100">
        <f t="shared" si="198"/>
        <v>445008469.85000002</v>
      </c>
    </row>
    <row r="181" spans="1:24">
      <c r="A181" s="4" t="s">
        <v>8</v>
      </c>
      <c r="B181" s="14" t="s">
        <v>41</v>
      </c>
      <c r="C181" s="14" t="s">
        <v>2</v>
      </c>
      <c r="D181" s="14" t="s">
        <v>20</v>
      </c>
      <c r="E181" s="14"/>
      <c r="F181" s="14"/>
      <c r="G181" s="14"/>
      <c r="H181" s="14"/>
      <c r="I181" s="28"/>
      <c r="J181" s="101">
        <f>J182</f>
        <v>92670235</v>
      </c>
      <c r="K181" s="101">
        <f t="shared" ref="K181:O182" si="201">K182</f>
        <v>91030997.620000005</v>
      </c>
      <c r="L181" s="101">
        <f t="shared" si="201"/>
        <v>90712509.200000003</v>
      </c>
      <c r="M181" s="101">
        <f t="shared" si="201"/>
        <v>-500000</v>
      </c>
      <c r="N181" s="101">
        <f t="shared" si="201"/>
        <v>-424386.66</v>
      </c>
      <c r="O181" s="101">
        <f t="shared" si="201"/>
        <v>-401680</v>
      </c>
      <c r="P181" s="101">
        <f t="shared" si="119"/>
        <v>92170235</v>
      </c>
      <c r="Q181" s="101">
        <f t="shared" si="120"/>
        <v>90606610.960000008</v>
      </c>
      <c r="R181" s="101">
        <f t="shared" si="121"/>
        <v>90310829.200000003</v>
      </c>
      <c r="S181" s="101">
        <f>S182</f>
        <v>500000</v>
      </c>
      <c r="T181" s="101">
        <f t="shared" ref="T181:U182" si="202">T182</f>
        <v>0</v>
      </c>
      <c r="U181" s="101">
        <f t="shared" si="202"/>
        <v>0</v>
      </c>
      <c r="V181" s="101">
        <f t="shared" si="196"/>
        <v>92670235</v>
      </c>
      <c r="W181" s="101">
        <f t="shared" si="197"/>
        <v>90606610.960000008</v>
      </c>
      <c r="X181" s="101">
        <f t="shared" si="198"/>
        <v>90310829.200000003</v>
      </c>
    </row>
    <row r="182" spans="1:24" ht="25.5">
      <c r="A182" s="2" t="s">
        <v>285</v>
      </c>
      <c r="B182" s="65" t="s">
        <v>41</v>
      </c>
      <c r="C182" s="65" t="s">
        <v>2</v>
      </c>
      <c r="D182" s="65" t="s">
        <v>20</v>
      </c>
      <c r="E182" s="65" t="s">
        <v>20</v>
      </c>
      <c r="F182" s="65" t="s">
        <v>70</v>
      </c>
      <c r="G182" s="65" t="s">
        <v>148</v>
      </c>
      <c r="H182" s="65" t="s">
        <v>149</v>
      </c>
      <c r="I182" s="92"/>
      <c r="J182" s="104">
        <f>J183</f>
        <v>92670235</v>
      </c>
      <c r="K182" s="104">
        <f t="shared" si="201"/>
        <v>91030997.620000005</v>
      </c>
      <c r="L182" s="104">
        <f t="shared" si="201"/>
        <v>90712509.200000003</v>
      </c>
      <c r="M182" s="104">
        <f t="shared" si="201"/>
        <v>-500000</v>
      </c>
      <c r="N182" s="104">
        <f t="shared" si="201"/>
        <v>-424386.66</v>
      </c>
      <c r="O182" s="104">
        <f t="shared" si="201"/>
        <v>-401680</v>
      </c>
      <c r="P182" s="104">
        <f t="shared" si="119"/>
        <v>92170235</v>
      </c>
      <c r="Q182" s="104">
        <f t="shared" si="120"/>
        <v>90606610.960000008</v>
      </c>
      <c r="R182" s="104">
        <f t="shared" si="121"/>
        <v>90310829.200000003</v>
      </c>
      <c r="S182" s="104">
        <f>S183</f>
        <v>500000</v>
      </c>
      <c r="T182" s="104">
        <f t="shared" si="202"/>
        <v>0</v>
      </c>
      <c r="U182" s="104">
        <f t="shared" si="202"/>
        <v>0</v>
      </c>
      <c r="V182" s="104">
        <f t="shared" si="196"/>
        <v>92670235</v>
      </c>
      <c r="W182" s="104">
        <f t="shared" si="197"/>
        <v>90606610.960000008</v>
      </c>
      <c r="X182" s="104">
        <f t="shared" si="198"/>
        <v>90310829.200000003</v>
      </c>
    </row>
    <row r="183" spans="1:24" ht="25.5">
      <c r="A183" s="2" t="s">
        <v>139</v>
      </c>
      <c r="B183" s="65" t="s">
        <v>41</v>
      </c>
      <c r="C183" s="65" t="s">
        <v>2</v>
      </c>
      <c r="D183" s="65" t="s">
        <v>20</v>
      </c>
      <c r="E183" s="65" t="s">
        <v>20</v>
      </c>
      <c r="F183" s="65" t="s">
        <v>127</v>
      </c>
      <c r="G183" s="65" t="s">
        <v>148</v>
      </c>
      <c r="H183" s="65" t="s">
        <v>149</v>
      </c>
      <c r="I183" s="92"/>
      <c r="J183" s="104">
        <f>J184+J193+J187+J196</f>
        <v>92670235</v>
      </c>
      <c r="K183" s="104">
        <f t="shared" ref="K183:L183" si="203">K184+K193+K187+K196</f>
        <v>91030997.620000005</v>
      </c>
      <c r="L183" s="104">
        <f t="shared" si="203"/>
        <v>90712509.200000003</v>
      </c>
      <c r="M183" s="104">
        <f t="shared" ref="M183:O183" si="204">M184+M193+M187+M196</f>
        <v>-500000</v>
      </c>
      <c r="N183" s="104">
        <f t="shared" si="204"/>
        <v>-424386.66</v>
      </c>
      <c r="O183" s="104">
        <f t="shared" si="204"/>
        <v>-401680</v>
      </c>
      <c r="P183" s="104">
        <f t="shared" si="119"/>
        <v>92170235</v>
      </c>
      <c r="Q183" s="104">
        <f t="shared" si="120"/>
        <v>90606610.960000008</v>
      </c>
      <c r="R183" s="104">
        <f t="shared" si="121"/>
        <v>90310829.200000003</v>
      </c>
      <c r="S183" s="104">
        <f>S184+S193+S187+S196+S190</f>
        <v>500000</v>
      </c>
      <c r="T183" s="104">
        <f t="shared" ref="T183:U183" si="205">T184+T193+T187+T196+T190</f>
        <v>0</v>
      </c>
      <c r="U183" s="104">
        <f t="shared" si="205"/>
        <v>0</v>
      </c>
      <c r="V183" s="104">
        <f t="shared" si="196"/>
        <v>92670235</v>
      </c>
      <c r="W183" s="104">
        <f t="shared" si="197"/>
        <v>90606610.960000008</v>
      </c>
      <c r="X183" s="104">
        <f t="shared" si="198"/>
        <v>90310829.200000003</v>
      </c>
    </row>
    <row r="184" spans="1:24" ht="25.5">
      <c r="A184" s="2" t="s">
        <v>140</v>
      </c>
      <c r="B184" s="65" t="s">
        <v>41</v>
      </c>
      <c r="C184" s="65" t="s">
        <v>2</v>
      </c>
      <c r="D184" s="65" t="s">
        <v>20</v>
      </c>
      <c r="E184" s="65" t="s">
        <v>20</v>
      </c>
      <c r="F184" s="65" t="s">
        <v>127</v>
      </c>
      <c r="G184" s="65" t="s">
        <v>148</v>
      </c>
      <c r="H184" s="65" t="s">
        <v>161</v>
      </c>
      <c r="I184" s="92"/>
      <c r="J184" s="104">
        <f>J185</f>
        <v>38975181</v>
      </c>
      <c r="K184" s="104">
        <f t="shared" ref="K184:O185" si="206">K185</f>
        <v>39555634.619999997</v>
      </c>
      <c r="L184" s="104">
        <f t="shared" si="206"/>
        <v>37409246.200000003</v>
      </c>
      <c r="M184" s="104">
        <f t="shared" si="206"/>
        <v>0</v>
      </c>
      <c r="N184" s="104">
        <f t="shared" si="206"/>
        <v>0</v>
      </c>
      <c r="O184" s="104">
        <f t="shared" si="206"/>
        <v>0</v>
      </c>
      <c r="P184" s="104">
        <f t="shared" si="119"/>
        <v>38975181</v>
      </c>
      <c r="Q184" s="104">
        <f t="shared" si="120"/>
        <v>39555634.619999997</v>
      </c>
      <c r="R184" s="104">
        <f t="shared" si="121"/>
        <v>37409246.200000003</v>
      </c>
      <c r="S184" s="104">
        <f t="shared" ref="S184:U185" si="207">S185</f>
        <v>0</v>
      </c>
      <c r="T184" s="104">
        <f t="shared" si="207"/>
        <v>0</v>
      </c>
      <c r="U184" s="104">
        <f t="shared" si="207"/>
        <v>0</v>
      </c>
      <c r="V184" s="104">
        <f t="shared" si="196"/>
        <v>38975181</v>
      </c>
      <c r="W184" s="104">
        <f t="shared" si="197"/>
        <v>39555634.619999997</v>
      </c>
      <c r="X184" s="104">
        <f t="shared" si="198"/>
        <v>37409246.200000003</v>
      </c>
    </row>
    <row r="185" spans="1:24" ht="25.5">
      <c r="A185" s="7" t="s">
        <v>72</v>
      </c>
      <c r="B185" s="65" t="s">
        <v>41</v>
      </c>
      <c r="C185" s="65" t="s">
        <v>2</v>
      </c>
      <c r="D185" s="65" t="s">
        <v>20</v>
      </c>
      <c r="E185" s="65" t="s">
        <v>20</v>
      </c>
      <c r="F185" s="65" t="s">
        <v>127</v>
      </c>
      <c r="G185" s="65" t="s">
        <v>148</v>
      </c>
      <c r="H185" s="65" t="s">
        <v>161</v>
      </c>
      <c r="I185" s="92" t="s">
        <v>71</v>
      </c>
      <c r="J185" s="104">
        <f>J186</f>
        <v>38975181</v>
      </c>
      <c r="K185" s="104">
        <f t="shared" si="206"/>
        <v>39555634.619999997</v>
      </c>
      <c r="L185" s="104">
        <f t="shared" si="206"/>
        <v>37409246.200000003</v>
      </c>
      <c r="M185" s="104">
        <f t="shared" si="206"/>
        <v>0</v>
      </c>
      <c r="N185" s="104">
        <f t="shared" si="206"/>
        <v>0</v>
      </c>
      <c r="O185" s="104">
        <f t="shared" si="206"/>
        <v>0</v>
      </c>
      <c r="P185" s="104">
        <f t="shared" si="119"/>
        <v>38975181</v>
      </c>
      <c r="Q185" s="104">
        <f t="shared" si="120"/>
        <v>39555634.619999997</v>
      </c>
      <c r="R185" s="104">
        <f t="shared" si="121"/>
        <v>37409246.200000003</v>
      </c>
      <c r="S185" s="104">
        <f t="shared" si="207"/>
        <v>0</v>
      </c>
      <c r="T185" s="104">
        <f t="shared" si="207"/>
        <v>0</v>
      </c>
      <c r="U185" s="104">
        <f t="shared" si="207"/>
        <v>0</v>
      </c>
      <c r="V185" s="104">
        <f t="shared" si="196"/>
        <v>38975181</v>
      </c>
      <c r="W185" s="104">
        <f t="shared" si="197"/>
        <v>39555634.619999997</v>
      </c>
      <c r="X185" s="104">
        <f t="shared" si="198"/>
        <v>37409246.200000003</v>
      </c>
    </row>
    <row r="186" spans="1:24">
      <c r="A186" s="11" t="s">
        <v>75</v>
      </c>
      <c r="B186" s="65" t="s">
        <v>41</v>
      </c>
      <c r="C186" s="65" t="s">
        <v>2</v>
      </c>
      <c r="D186" s="65" t="s">
        <v>20</v>
      </c>
      <c r="E186" s="65" t="s">
        <v>20</v>
      </c>
      <c r="F186" s="65" t="s">
        <v>127</v>
      </c>
      <c r="G186" s="65" t="s">
        <v>148</v>
      </c>
      <c r="H186" s="65" t="s">
        <v>161</v>
      </c>
      <c r="I186" s="92" t="s">
        <v>74</v>
      </c>
      <c r="J186" s="104">
        <f>38075181+900000</f>
        <v>38975181</v>
      </c>
      <c r="K186" s="104">
        <f>38655634.62+900000</f>
        <v>39555634.619999997</v>
      </c>
      <c r="L186" s="104">
        <f>36909246.2+500000</f>
        <v>37409246.200000003</v>
      </c>
      <c r="M186" s="104"/>
      <c r="N186" s="104"/>
      <c r="O186" s="104"/>
      <c r="P186" s="104">
        <f t="shared" ref="P186:P258" si="208">J186+M186</f>
        <v>38975181</v>
      </c>
      <c r="Q186" s="104">
        <f t="shared" ref="Q186:Q258" si="209">K186+N186</f>
        <v>39555634.619999997</v>
      </c>
      <c r="R186" s="104">
        <f t="shared" ref="R186:R258" si="210">L186+O186</f>
        <v>37409246.200000003</v>
      </c>
      <c r="S186" s="104"/>
      <c r="T186" s="104"/>
      <c r="U186" s="104"/>
      <c r="V186" s="104">
        <f t="shared" si="196"/>
        <v>38975181</v>
      </c>
      <c r="W186" s="104">
        <f t="shared" si="197"/>
        <v>39555634.619999997</v>
      </c>
      <c r="X186" s="104">
        <f t="shared" si="198"/>
        <v>37409246.200000003</v>
      </c>
    </row>
    <row r="187" spans="1:24" ht="25.5">
      <c r="A187" s="2" t="s">
        <v>377</v>
      </c>
      <c r="B187" s="65" t="s">
        <v>41</v>
      </c>
      <c r="C187" s="65" t="s">
        <v>2</v>
      </c>
      <c r="D187" s="65" t="s">
        <v>20</v>
      </c>
      <c r="E187" s="65" t="s">
        <v>20</v>
      </c>
      <c r="F187" s="65" t="s">
        <v>127</v>
      </c>
      <c r="G187" s="65" t="s">
        <v>148</v>
      </c>
      <c r="H187" s="59" t="s">
        <v>226</v>
      </c>
      <c r="I187" s="116"/>
      <c r="J187" s="104">
        <f>J188</f>
        <v>500000</v>
      </c>
      <c r="K187" s="104">
        <f t="shared" ref="K187:O188" si="211">K188</f>
        <v>500000</v>
      </c>
      <c r="L187" s="104">
        <f t="shared" si="211"/>
        <v>300000</v>
      </c>
      <c r="M187" s="104">
        <f t="shared" si="211"/>
        <v>0</v>
      </c>
      <c r="N187" s="104">
        <f t="shared" si="211"/>
        <v>0</v>
      </c>
      <c r="O187" s="104">
        <f t="shared" si="211"/>
        <v>0</v>
      </c>
      <c r="P187" s="104">
        <f t="shared" si="208"/>
        <v>500000</v>
      </c>
      <c r="Q187" s="104">
        <f t="shared" si="209"/>
        <v>500000</v>
      </c>
      <c r="R187" s="104">
        <f t="shared" si="210"/>
        <v>300000</v>
      </c>
      <c r="S187" s="104">
        <f t="shared" ref="S187:U188" si="212">S188</f>
        <v>0</v>
      </c>
      <c r="T187" s="104">
        <f t="shared" si="212"/>
        <v>0</v>
      </c>
      <c r="U187" s="104">
        <f t="shared" si="212"/>
        <v>0</v>
      </c>
      <c r="V187" s="104">
        <f t="shared" si="196"/>
        <v>500000</v>
      </c>
      <c r="W187" s="104">
        <f t="shared" si="197"/>
        <v>500000</v>
      </c>
      <c r="X187" s="104">
        <f t="shared" si="198"/>
        <v>300000</v>
      </c>
    </row>
    <row r="188" spans="1:24" ht="25.5">
      <c r="A188" s="7" t="s">
        <v>72</v>
      </c>
      <c r="B188" s="65" t="s">
        <v>41</v>
      </c>
      <c r="C188" s="65" t="s">
        <v>2</v>
      </c>
      <c r="D188" s="65" t="s">
        <v>20</v>
      </c>
      <c r="E188" s="65" t="s">
        <v>20</v>
      </c>
      <c r="F188" s="65" t="s">
        <v>127</v>
      </c>
      <c r="G188" s="65" t="s">
        <v>148</v>
      </c>
      <c r="H188" s="59" t="s">
        <v>226</v>
      </c>
      <c r="I188" s="116" t="s">
        <v>71</v>
      </c>
      <c r="J188" s="104">
        <f>J189</f>
        <v>500000</v>
      </c>
      <c r="K188" s="104">
        <f t="shared" si="211"/>
        <v>500000</v>
      </c>
      <c r="L188" s="104">
        <f t="shared" si="211"/>
        <v>300000</v>
      </c>
      <c r="M188" s="104">
        <f t="shared" si="211"/>
        <v>0</v>
      </c>
      <c r="N188" s="104">
        <f t="shared" si="211"/>
        <v>0</v>
      </c>
      <c r="O188" s="104">
        <f t="shared" si="211"/>
        <v>0</v>
      </c>
      <c r="P188" s="104">
        <f t="shared" si="208"/>
        <v>500000</v>
      </c>
      <c r="Q188" s="104">
        <f t="shared" si="209"/>
        <v>500000</v>
      </c>
      <c r="R188" s="104">
        <f t="shared" si="210"/>
        <v>300000</v>
      </c>
      <c r="S188" s="104">
        <f t="shared" si="212"/>
        <v>0</v>
      </c>
      <c r="T188" s="104">
        <f t="shared" si="212"/>
        <v>0</v>
      </c>
      <c r="U188" s="104">
        <f t="shared" si="212"/>
        <v>0</v>
      </c>
      <c r="V188" s="104">
        <f t="shared" si="196"/>
        <v>500000</v>
      </c>
      <c r="W188" s="104">
        <f t="shared" si="197"/>
        <v>500000</v>
      </c>
      <c r="X188" s="104">
        <f t="shared" si="198"/>
        <v>300000</v>
      </c>
    </row>
    <row r="189" spans="1:24">
      <c r="A189" s="11" t="s">
        <v>75</v>
      </c>
      <c r="B189" s="65" t="s">
        <v>41</v>
      </c>
      <c r="C189" s="65" t="s">
        <v>2</v>
      </c>
      <c r="D189" s="65" t="s">
        <v>20</v>
      </c>
      <c r="E189" s="65" t="s">
        <v>20</v>
      </c>
      <c r="F189" s="65" t="s">
        <v>127</v>
      </c>
      <c r="G189" s="65" t="s">
        <v>148</v>
      </c>
      <c r="H189" s="59" t="s">
        <v>226</v>
      </c>
      <c r="I189" s="116" t="s">
        <v>74</v>
      </c>
      <c r="J189" s="104">
        <v>500000</v>
      </c>
      <c r="K189" s="104">
        <v>500000</v>
      </c>
      <c r="L189" s="104">
        <v>300000</v>
      </c>
      <c r="M189" s="104"/>
      <c r="N189" s="104"/>
      <c r="O189" s="104"/>
      <c r="P189" s="104">
        <f t="shared" si="208"/>
        <v>500000</v>
      </c>
      <c r="Q189" s="104">
        <f t="shared" si="209"/>
        <v>500000</v>
      </c>
      <c r="R189" s="104">
        <f t="shared" si="210"/>
        <v>300000</v>
      </c>
      <c r="S189" s="104"/>
      <c r="T189" s="104"/>
      <c r="U189" s="104"/>
      <c r="V189" s="104">
        <f t="shared" si="196"/>
        <v>500000</v>
      </c>
      <c r="W189" s="104">
        <f t="shared" si="197"/>
        <v>500000</v>
      </c>
      <c r="X189" s="104">
        <f t="shared" si="198"/>
        <v>300000</v>
      </c>
    </row>
    <row r="190" spans="1:24" ht="15.75" customHeight="1">
      <c r="A190" s="11" t="s">
        <v>437</v>
      </c>
      <c r="B190" s="65" t="s">
        <v>41</v>
      </c>
      <c r="C190" s="65" t="s">
        <v>2</v>
      </c>
      <c r="D190" s="65" t="s">
        <v>20</v>
      </c>
      <c r="E190" s="65" t="s">
        <v>20</v>
      </c>
      <c r="F190" s="65" t="s">
        <v>127</v>
      </c>
      <c r="G190" s="65" t="s">
        <v>148</v>
      </c>
      <c r="H190" s="59" t="s">
        <v>436</v>
      </c>
      <c r="I190" s="116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>
        <f>S191</f>
        <v>500000</v>
      </c>
      <c r="T190" s="104">
        <f t="shared" ref="T190:U191" si="213">T191</f>
        <v>0</v>
      </c>
      <c r="U190" s="104">
        <f t="shared" si="213"/>
        <v>0</v>
      </c>
      <c r="V190" s="104">
        <f t="shared" ref="V190:V192" si="214">P190+S190</f>
        <v>500000</v>
      </c>
      <c r="W190" s="104">
        <f t="shared" ref="W190:W192" si="215">Q190+T190</f>
        <v>0</v>
      </c>
      <c r="X190" s="104">
        <f t="shared" ref="X190:X192" si="216">R190+U190</f>
        <v>0</v>
      </c>
    </row>
    <row r="191" spans="1:24" ht="25.5">
      <c r="A191" s="7" t="s">
        <v>72</v>
      </c>
      <c r="B191" s="65" t="s">
        <v>41</v>
      </c>
      <c r="C191" s="65" t="s">
        <v>2</v>
      </c>
      <c r="D191" s="65" t="s">
        <v>20</v>
      </c>
      <c r="E191" s="65" t="s">
        <v>20</v>
      </c>
      <c r="F191" s="65" t="s">
        <v>127</v>
      </c>
      <c r="G191" s="65" t="s">
        <v>148</v>
      </c>
      <c r="H191" s="59" t="s">
        <v>436</v>
      </c>
      <c r="I191" s="116" t="s">
        <v>71</v>
      </c>
      <c r="J191" s="104"/>
      <c r="K191" s="104"/>
      <c r="L191" s="104"/>
      <c r="M191" s="104"/>
      <c r="N191" s="104"/>
      <c r="O191" s="104"/>
      <c r="P191" s="104"/>
      <c r="Q191" s="104"/>
      <c r="R191" s="104"/>
      <c r="S191" s="104">
        <f>S192</f>
        <v>500000</v>
      </c>
      <c r="T191" s="104">
        <f t="shared" si="213"/>
        <v>0</v>
      </c>
      <c r="U191" s="104">
        <f t="shared" si="213"/>
        <v>0</v>
      </c>
      <c r="V191" s="104">
        <f t="shared" si="214"/>
        <v>500000</v>
      </c>
      <c r="W191" s="104">
        <f t="shared" si="215"/>
        <v>0</v>
      </c>
      <c r="X191" s="104">
        <f t="shared" si="216"/>
        <v>0</v>
      </c>
    </row>
    <row r="192" spans="1:24" ht="25.5">
      <c r="A192" s="7" t="s">
        <v>72</v>
      </c>
      <c r="B192" s="65" t="s">
        <v>41</v>
      </c>
      <c r="C192" s="65" t="s">
        <v>2</v>
      </c>
      <c r="D192" s="65" t="s">
        <v>20</v>
      </c>
      <c r="E192" s="65" t="s">
        <v>20</v>
      </c>
      <c r="F192" s="65" t="s">
        <v>127</v>
      </c>
      <c r="G192" s="65" t="s">
        <v>148</v>
      </c>
      <c r="H192" s="59" t="s">
        <v>436</v>
      </c>
      <c r="I192" s="116" t="s">
        <v>74</v>
      </c>
      <c r="J192" s="104"/>
      <c r="K192" s="104"/>
      <c r="L192" s="104"/>
      <c r="M192" s="104"/>
      <c r="N192" s="104"/>
      <c r="O192" s="104"/>
      <c r="P192" s="104"/>
      <c r="Q192" s="104"/>
      <c r="R192" s="104"/>
      <c r="S192" s="104">
        <v>500000</v>
      </c>
      <c r="T192" s="104"/>
      <c r="U192" s="104"/>
      <c r="V192" s="104">
        <f t="shared" si="214"/>
        <v>500000</v>
      </c>
      <c r="W192" s="104">
        <f t="shared" si="215"/>
        <v>0</v>
      </c>
      <c r="X192" s="104">
        <f t="shared" si="216"/>
        <v>0</v>
      </c>
    </row>
    <row r="193" spans="1:24" ht="63.75">
      <c r="A193" s="11" t="s">
        <v>313</v>
      </c>
      <c r="B193" s="65" t="s">
        <v>41</v>
      </c>
      <c r="C193" s="65" t="s">
        <v>2</v>
      </c>
      <c r="D193" s="65" t="s">
        <v>20</v>
      </c>
      <c r="E193" s="65" t="s">
        <v>20</v>
      </c>
      <c r="F193" s="65" t="s">
        <v>127</v>
      </c>
      <c r="G193" s="65" t="s">
        <v>148</v>
      </c>
      <c r="H193" s="59" t="s">
        <v>206</v>
      </c>
      <c r="I193" s="92"/>
      <c r="J193" s="104">
        <f>J194</f>
        <v>2037668</v>
      </c>
      <c r="K193" s="104">
        <f t="shared" ref="K193:O194" si="217">K194</f>
        <v>2119174</v>
      </c>
      <c r="L193" s="104">
        <f t="shared" si="217"/>
        <v>2401680</v>
      </c>
      <c r="M193" s="104">
        <f t="shared" si="217"/>
        <v>-500000</v>
      </c>
      <c r="N193" s="104">
        <f t="shared" si="217"/>
        <v>-424386.66</v>
      </c>
      <c r="O193" s="104">
        <f t="shared" si="217"/>
        <v>-401680</v>
      </c>
      <c r="P193" s="104">
        <f t="shared" si="208"/>
        <v>1537668</v>
      </c>
      <c r="Q193" s="104">
        <f t="shared" si="209"/>
        <v>1694787.34</v>
      </c>
      <c r="R193" s="104">
        <f t="shared" si="210"/>
        <v>2000000</v>
      </c>
      <c r="S193" s="104">
        <f t="shared" ref="S193:U194" si="218">S194</f>
        <v>0</v>
      </c>
      <c r="T193" s="104">
        <f t="shared" si="218"/>
        <v>0</v>
      </c>
      <c r="U193" s="104">
        <f t="shared" si="218"/>
        <v>0</v>
      </c>
      <c r="V193" s="104">
        <f t="shared" si="196"/>
        <v>1537668</v>
      </c>
      <c r="W193" s="104">
        <f t="shared" si="197"/>
        <v>1694787.34</v>
      </c>
      <c r="X193" s="104">
        <f t="shared" si="198"/>
        <v>2000000</v>
      </c>
    </row>
    <row r="194" spans="1:24" ht="25.5">
      <c r="A194" s="7" t="s">
        <v>72</v>
      </c>
      <c r="B194" s="65" t="s">
        <v>41</v>
      </c>
      <c r="C194" s="65" t="s">
        <v>2</v>
      </c>
      <c r="D194" s="65" t="s">
        <v>20</v>
      </c>
      <c r="E194" s="65" t="s">
        <v>20</v>
      </c>
      <c r="F194" s="65" t="s">
        <v>127</v>
      </c>
      <c r="G194" s="65" t="s">
        <v>148</v>
      </c>
      <c r="H194" s="59" t="s">
        <v>206</v>
      </c>
      <c r="I194" s="116" t="s">
        <v>71</v>
      </c>
      <c r="J194" s="104">
        <f>J195</f>
        <v>2037668</v>
      </c>
      <c r="K194" s="104">
        <f t="shared" si="217"/>
        <v>2119174</v>
      </c>
      <c r="L194" s="104">
        <f t="shared" si="217"/>
        <v>2401680</v>
      </c>
      <c r="M194" s="104">
        <f t="shared" si="217"/>
        <v>-500000</v>
      </c>
      <c r="N194" s="104">
        <f t="shared" si="217"/>
        <v>-424386.66</v>
      </c>
      <c r="O194" s="104">
        <f t="shared" si="217"/>
        <v>-401680</v>
      </c>
      <c r="P194" s="104">
        <f t="shared" si="208"/>
        <v>1537668</v>
      </c>
      <c r="Q194" s="104">
        <f t="shared" si="209"/>
        <v>1694787.34</v>
      </c>
      <c r="R194" s="104">
        <f t="shared" si="210"/>
        <v>2000000</v>
      </c>
      <c r="S194" s="104">
        <f t="shared" si="218"/>
        <v>0</v>
      </c>
      <c r="T194" s="104">
        <f t="shared" si="218"/>
        <v>0</v>
      </c>
      <c r="U194" s="104">
        <f t="shared" si="218"/>
        <v>0</v>
      </c>
      <c r="V194" s="104">
        <f t="shared" si="196"/>
        <v>1537668</v>
      </c>
      <c r="W194" s="104">
        <f t="shared" si="197"/>
        <v>1694787.34</v>
      </c>
      <c r="X194" s="104">
        <f t="shared" si="198"/>
        <v>2000000</v>
      </c>
    </row>
    <row r="195" spans="1:24">
      <c r="A195" s="11" t="s">
        <v>75</v>
      </c>
      <c r="B195" s="65" t="s">
        <v>41</v>
      </c>
      <c r="C195" s="65" t="s">
        <v>2</v>
      </c>
      <c r="D195" s="65" t="s">
        <v>20</v>
      </c>
      <c r="E195" s="65" t="s">
        <v>20</v>
      </c>
      <c r="F195" s="65" t="s">
        <v>127</v>
      </c>
      <c r="G195" s="65" t="s">
        <v>148</v>
      </c>
      <c r="H195" s="59" t="s">
        <v>206</v>
      </c>
      <c r="I195" s="116" t="s">
        <v>74</v>
      </c>
      <c r="J195" s="104">
        <v>2037668</v>
      </c>
      <c r="K195" s="104">
        <v>2119174</v>
      </c>
      <c r="L195" s="104">
        <v>2401680</v>
      </c>
      <c r="M195" s="104">
        <v>-500000</v>
      </c>
      <c r="N195" s="104">
        <v>-424386.66</v>
      </c>
      <c r="O195" s="104">
        <v>-401680</v>
      </c>
      <c r="P195" s="104">
        <f t="shared" si="208"/>
        <v>1537668</v>
      </c>
      <c r="Q195" s="104">
        <f t="shared" si="209"/>
        <v>1694787.34</v>
      </c>
      <c r="R195" s="104">
        <f t="shared" si="210"/>
        <v>2000000</v>
      </c>
      <c r="S195" s="104"/>
      <c r="T195" s="104"/>
      <c r="U195" s="104"/>
      <c r="V195" s="104">
        <f t="shared" si="196"/>
        <v>1537668</v>
      </c>
      <c r="W195" s="104">
        <f t="shared" si="197"/>
        <v>1694787.34</v>
      </c>
      <c r="X195" s="104">
        <f t="shared" si="198"/>
        <v>2000000</v>
      </c>
    </row>
    <row r="196" spans="1:24" ht="25.5">
      <c r="A196" s="7" t="s">
        <v>394</v>
      </c>
      <c r="B196" s="65" t="s">
        <v>41</v>
      </c>
      <c r="C196" s="65" t="s">
        <v>2</v>
      </c>
      <c r="D196" s="65" t="s">
        <v>20</v>
      </c>
      <c r="E196" s="65" t="s">
        <v>20</v>
      </c>
      <c r="F196" s="65" t="s">
        <v>127</v>
      </c>
      <c r="G196" s="65" t="s">
        <v>148</v>
      </c>
      <c r="H196" s="59" t="s">
        <v>243</v>
      </c>
      <c r="I196" s="92"/>
      <c r="J196" s="104">
        <f>J197</f>
        <v>51157386</v>
      </c>
      <c r="K196" s="104">
        <f t="shared" ref="K196:O197" si="219">K197</f>
        <v>48856189</v>
      </c>
      <c r="L196" s="104">
        <f t="shared" si="219"/>
        <v>50601583</v>
      </c>
      <c r="M196" s="104">
        <f t="shared" si="219"/>
        <v>0</v>
      </c>
      <c r="N196" s="104">
        <f t="shared" si="219"/>
        <v>0</v>
      </c>
      <c r="O196" s="104">
        <f t="shared" si="219"/>
        <v>0</v>
      </c>
      <c r="P196" s="104">
        <f t="shared" si="208"/>
        <v>51157386</v>
      </c>
      <c r="Q196" s="104">
        <f t="shared" si="209"/>
        <v>48856189</v>
      </c>
      <c r="R196" s="104">
        <f t="shared" si="210"/>
        <v>50601583</v>
      </c>
      <c r="S196" s="104">
        <f t="shared" ref="S196:U197" si="220">S197</f>
        <v>0</v>
      </c>
      <c r="T196" s="104">
        <f t="shared" si="220"/>
        <v>0</v>
      </c>
      <c r="U196" s="104">
        <f t="shared" si="220"/>
        <v>0</v>
      </c>
      <c r="V196" s="104">
        <f t="shared" si="196"/>
        <v>51157386</v>
      </c>
      <c r="W196" s="104">
        <f t="shared" si="197"/>
        <v>48856189</v>
      </c>
      <c r="X196" s="104">
        <f t="shared" si="198"/>
        <v>50601583</v>
      </c>
    </row>
    <row r="197" spans="1:24" ht="25.5">
      <c r="A197" s="7" t="s">
        <v>72</v>
      </c>
      <c r="B197" s="65" t="s">
        <v>41</v>
      </c>
      <c r="C197" s="65" t="s">
        <v>2</v>
      </c>
      <c r="D197" s="65" t="s">
        <v>20</v>
      </c>
      <c r="E197" s="65" t="s">
        <v>20</v>
      </c>
      <c r="F197" s="65" t="s">
        <v>127</v>
      </c>
      <c r="G197" s="65" t="s">
        <v>148</v>
      </c>
      <c r="H197" s="59" t="s">
        <v>243</v>
      </c>
      <c r="I197" s="92" t="s">
        <v>71</v>
      </c>
      <c r="J197" s="104">
        <f>J198</f>
        <v>51157386</v>
      </c>
      <c r="K197" s="104">
        <f t="shared" si="219"/>
        <v>48856189</v>
      </c>
      <c r="L197" s="104">
        <f t="shared" si="219"/>
        <v>50601583</v>
      </c>
      <c r="M197" s="104">
        <f t="shared" si="219"/>
        <v>0</v>
      </c>
      <c r="N197" s="104">
        <f t="shared" si="219"/>
        <v>0</v>
      </c>
      <c r="O197" s="104">
        <f t="shared" si="219"/>
        <v>0</v>
      </c>
      <c r="P197" s="104">
        <f t="shared" si="208"/>
        <v>51157386</v>
      </c>
      <c r="Q197" s="104">
        <f t="shared" si="209"/>
        <v>48856189</v>
      </c>
      <c r="R197" s="104">
        <f t="shared" si="210"/>
        <v>50601583</v>
      </c>
      <c r="S197" s="104">
        <f t="shared" si="220"/>
        <v>0</v>
      </c>
      <c r="T197" s="104">
        <f t="shared" si="220"/>
        <v>0</v>
      </c>
      <c r="U197" s="104">
        <f t="shared" si="220"/>
        <v>0</v>
      </c>
      <c r="V197" s="104">
        <f t="shared" si="196"/>
        <v>51157386</v>
      </c>
      <c r="W197" s="104">
        <f t="shared" si="197"/>
        <v>48856189</v>
      </c>
      <c r="X197" s="104">
        <f t="shared" si="198"/>
        <v>50601583</v>
      </c>
    </row>
    <row r="198" spans="1:24">
      <c r="A198" s="11" t="s">
        <v>75</v>
      </c>
      <c r="B198" s="65" t="s">
        <v>41</v>
      </c>
      <c r="C198" s="65" t="s">
        <v>2</v>
      </c>
      <c r="D198" s="65" t="s">
        <v>20</v>
      </c>
      <c r="E198" s="65" t="s">
        <v>20</v>
      </c>
      <c r="F198" s="65" t="s">
        <v>127</v>
      </c>
      <c r="G198" s="65" t="s">
        <v>148</v>
      </c>
      <c r="H198" s="59" t="s">
        <v>243</v>
      </c>
      <c r="I198" s="92" t="s">
        <v>74</v>
      </c>
      <c r="J198" s="104">
        <v>51157386</v>
      </c>
      <c r="K198" s="104">
        <v>48856189</v>
      </c>
      <c r="L198" s="104">
        <v>50601583</v>
      </c>
      <c r="M198" s="104"/>
      <c r="N198" s="104"/>
      <c r="O198" s="104"/>
      <c r="P198" s="104">
        <f t="shared" si="208"/>
        <v>51157386</v>
      </c>
      <c r="Q198" s="104">
        <f t="shared" si="209"/>
        <v>48856189</v>
      </c>
      <c r="R198" s="104">
        <f t="shared" si="210"/>
        <v>50601583</v>
      </c>
      <c r="S198" s="104"/>
      <c r="T198" s="104"/>
      <c r="U198" s="104"/>
      <c r="V198" s="104">
        <f t="shared" si="196"/>
        <v>51157386</v>
      </c>
      <c r="W198" s="104">
        <f t="shared" si="197"/>
        <v>48856189</v>
      </c>
      <c r="X198" s="104">
        <f t="shared" si="198"/>
        <v>50601583</v>
      </c>
    </row>
    <row r="199" spans="1:24">
      <c r="A199" s="7"/>
      <c r="B199" s="1"/>
      <c r="C199" s="1"/>
      <c r="D199" s="1"/>
      <c r="E199" s="1"/>
      <c r="F199" s="1"/>
      <c r="G199" s="1"/>
      <c r="H199" s="1"/>
      <c r="I199" s="13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</row>
    <row r="200" spans="1:24" s="85" customFormat="1">
      <c r="A200" s="4" t="s">
        <v>25</v>
      </c>
      <c r="B200" s="14" t="s">
        <v>41</v>
      </c>
      <c r="C200" s="15" t="s">
        <v>2</v>
      </c>
      <c r="D200" s="15" t="s">
        <v>17</v>
      </c>
      <c r="E200" s="15"/>
      <c r="F200" s="15"/>
      <c r="G200" s="15"/>
      <c r="H200" s="15"/>
      <c r="I200" s="26"/>
      <c r="J200" s="101">
        <f>J201</f>
        <v>309079104.48000002</v>
      </c>
      <c r="K200" s="101">
        <f t="shared" ref="K200:O200" si="221">K201</f>
        <v>303362208.33000004</v>
      </c>
      <c r="L200" s="101">
        <f t="shared" si="221"/>
        <v>310417017.47000003</v>
      </c>
      <c r="M200" s="101">
        <f t="shared" si="221"/>
        <v>-1071950.78</v>
      </c>
      <c r="N200" s="101">
        <f t="shared" si="221"/>
        <v>-797028.37</v>
      </c>
      <c r="O200" s="101">
        <f t="shared" si="221"/>
        <v>-678629.68</v>
      </c>
      <c r="P200" s="101">
        <f t="shared" si="208"/>
        <v>308007153.70000005</v>
      </c>
      <c r="Q200" s="101">
        <f t="shared" si="209"/>
        <v>302565179.96000004</v>
      </c>
      <c r="R200" s="101">
        <f t="shared" si="210"/>
        <v>309738387.79000002</v>
      </c>
      <c r="S200" s="101">
        <f t="shared" ref="S200:U200" si="222">S201</f>
        <v>3609069.4</v>
      </c>
      <c r="T200" s="101">
        <f t="shared" si="222"/>
        <v>0</v>
      </c>
      <c r="U200" s="101">
        <f t="shared" si="222"/>
        <v>0</v>
      </c>
      <c r="V200" s="101">
        <f t="shared" ref="V200:V234" si="223">P200+S200</f>
        <v>311616223.10000002</v>
      </c>
      <c r="W200" s="101">
        <f t="shared" ref="W200:W234" si="224">Q200+T200</f>
        <v>302565179.96000004</v>
      </c>
      <c r="X200" s="101">
        <f t="shared" ref="X200:X234" si="225">R200+U200</f>
        <v>309738387.79000002</v>
      </c>
    </row>
    <row r="201" spans="1:24" s="85" customFormat="1" ht="25.5">
      <c r="A201" s="2" t="s">
        <v>285</v>
      </c>
      <c r="B201" s="65" t="s">
        <v>41</v>
      </c>
      <c r="C201" s="1" t="s">
        <v>2</v>
      </c>
      <c r="D201" s="1" t="s">
        <v>17</v>
      </c>
      <c r="E201" s="1" t="s">
        <v>20</v>
      </c>
      <c r="F201" s="1" t="s">
        <v>70</v>
      </c>
      <c r="G201" s="1" t="s">
        <v>148</v>
      </c>
      <c r="H201" s="1" t="s">
        <v>149</v>
      </c>
      <c r="I201" s="13"/>
      <c r="J201" s="104">
        <f>J202+J227+J231</f>
        <v>309079104.48000002</v>
      </c>
      <c r="K201" s="104">
        <f t="shared" ref="K201:L201" si="226">K202+K227+K231</f>
        <v>303362208.33000004</v>
      </c>
      <c r="L201" s="104">
        <f t="shared" si="226"/>
        <v>310417017.47000003</v>
      </c>
      <c r="M201" s="104">
        <f t="shared" ref="M201:O201" si="227">M202+M227+M231</f>
        <v>-1071950.78</v>
      </c>
      <c r="N201" s="104">
        <f t="shared" si="227"/>
        <v>-797028.37</v>
      </c>
      <c r="O201" s="104">
        <f t="shared" si="227"/>
        <v>-678629.68</v>
      </c>
      <c r="P201" s="104">
        <f t="shared" si="208"/>
        <v>308007153.70000005</v>
      </c>
      <c r="Q201" s="104">
        <f t="shared" si="209"/>
        <v>302565179.96000004</v>
      </c>
      <c r="R201" s="104">
        <f t="shared" si="210"/>
        <v>309738387.79000002</v>
      </c>
      <c r="S201" s="104">
        <f t="shared" ref="S201:U201" si="228">S202+S227+S231</f>
        <v>3609069.4</v>
      </c>
      <c r="T201" s="104">
        <f t="shared" si="228"/>
        <v>0</v>
      </c>
      <c r="U201" s="104">
        <f t="shared" si="228"/>
        <v>0</v>
      </c>
      <c r="V201" s="104">
        <f t="shared" si="223"/>
        <v>311616223.10000002</v>
      </c>
      <c r="W201" s="104">
        <f t="shared" si="224"/>
        <v>302565179.96000004</v>
      </c>
      <c r="X201" s="104">
        <f t="shared" si="225"/>
        <v>309738387.79000002</v>
      </c>
    </row>
    <row r="202" spans="1:24" s="85" customFormat="1">
      <c r="A202" s="2" t="s">
        <v>142</v>
      </c>
      <c r="B202" s="65" t="s">
        <v>41</v>
      </c>
      <c r="C202" s="1" t="s">
        <v>2</v>
      </c>
      <c r="D202" s="1" t="s">
        <v>17</v>
      </c>
      <c r="E202" s="1" t="s">
        <v>20</v>
      </c>
      <c r="F202" s="1" t="s">
        <v>134</v>
      </c>
      <c r="G202" s="1" t="s">
        <v>148</v>
      </c>
      <c r="H202" s="1" t="s">
        <v>149</v>
      </c>
      <c r="I202" s="13"/>
      <c r="J202" s="104">
        <f>J203+J209+J218+J206+J215+J221+J224</f>
        <v>308564104.48000002</v>
      </c>
      <c r="K202" s="104">
        <f t="shared" ref="K202:L202" si="229">K203+K209+K218+K206+K215+K221+K224</f>
        <v>302847208.33000004</v>
      </c>
      <c r="L202" s="104">
        <f t="shared" si="229"/>
        <v>309902017.47000003</v>
      </c>
      <c r="M202" s="104">
        <f t="shared" ref="M202:O202" si="230">M203+M209+M218+M206+M215+M221+M224</f>
        <v>-1071950.78</v>
      </c>
      <c r="N202" s="104">
        <f t="shared" si="230"/>
        <v>-797028.37</v>
      </c>
      <c r="O202" s="104">
        <f t="shared" si="230"/>
        <v>-678629.68</v>
      </c>
      <c r="P202" s="104">
        <f t="shared" si="208"/>
        <v>307492153.70000005</v>
      </c>
      <c r="Q202" s="104">
        <f t="shared" si="209"/>
        <v>302050179.96000004</v>
      </c>
      <c r="R202" s="104">
        <f t="shared" si="210"/>
        <v>309223387.79000002</v>
      </c>
      <c r="S202" s="104">
        <f>S203+S209+S218+S206+S215+S221+S224+S212</f>
        <v>3609069.4</v>
      </c>
      <c r="T202" s="104">
        <f t="shared" ref="T202:U202" si="231">T203+T209+T218+T206+T215+T221+T224+T212</f>
        <v>0</v>
      </c>
      <c r="U202" s="104">
        <f t="shared" si="231"/>
        <v>0</v>
      </c>
      <c r="V202" s="104">
        <f t="shared" si="223"/>
        <v>311101223.10000002</v>
      </c>
      <c r="W202" s="104">
        <f t="shared" si="224"/>
        <v>302050179.96000004</v>
      </c>
      <c r="X202" s="104">
        <f t="shared" si="225"/>
        <v>309223387.79000002</v>
      </c>
    </row>
    <row r="203" spans="1:24" s="85" customFormat="1" ht="38.25">
      <c r="A203" s="2" t="s">
        <v>143</v>
      </c>
      <c r="B203" s="65" t="s">
        <v>41</v>
      </c>
      <c r="C203" s="1" t="s">
        <v>2</v>
      </c>
      <c r="D203" s="1" t="s">
        <v>17</v>
      </c>
      <c r="E203" s="1" t="s">
        <v>20</v>
      </c>
      <c r="F203" s="1" t="s">
        <v>134</v>
      </c>
      <c r="G203" s="1" t="s">
        <v>148</v>
      </c>
      <c r="H203" s="1" t="s">
        <v>163</v>
      </c>
      <c r="I203" s="13"/>
      <c r="J203" s="104">
        <f>J204</f>
        <v>116245370</v>
      </c>
      <c r="K203" s="104">
        <f t="shared" ref="K203:O204" si="232">K204</f>
        <v>118721590.56</v>
      </c>
      <c r="L203" s="104">
        <f t="shared" si="232"/>
        <v>121831156.06</v>
      </c>
      <c r="M203" s="104">
        <f t="shared" si="232"/>
        <v>0</v>
      </c>
      <c r="N203" s="104">
        <f t="shared" si="232"/>
        <v>0</v>
      </c>
      <c r="O203" s="104">
        <f t="shared" si="232"/>
        <v>0</v>
      </c>
      <c r="P203" s="104">
        <f t="shared" si="208"/>
        <v>116245370</v>
      </c>
      <c r="Q203" s="104">
        <f t="shared" si="209"/>
        <v>118721590.56</v>
      </c>
      <c r="R203" s="104">
        <f t="shared" si="210"/>
        <v>121831156.06</v>
      </c>
      <c r="S203" s="104">
        <f t="shared" ref="S203:U204" si="233">S204</f>
        <v>0</v>
      </c>
      <c r="T203" s="104">
        <f t="shared" si="233"/>
        <v>0</v>
      </c>
      <c r="U203" s="104">
        <f t="shared" si="233"/>
        <v>0</v>
      </c>
      <c r="V203" s="104">
        <f t="shared" si="223"/>
        <v>116245370</v>
      </c>
      <c r="W203" s="104">
        <f t="shared" si="224"/>
        <v>118721590.56</v>
      </c>
      <c r="X203" s="104">
        <f t="shared" si="225"/>
        <v>121831156.06</v>
      </c>
    </row>
    <row r="204" spans="1:24" s="85" customFormat="1" ht="25.5">
      <c r="A204" s="7" t="s">
        <v>72</v>
      </c>
      <c r="B204" s="65" t="s">
        <v>41</v>
      </c>
      <c r="C204" s="1" t="s">
        <v>2</v>
      </c>
      <c r="D204" s="1" t="s">
        <v>17</v>
      </c>
      <c r="E204" s="1" t="s">
        <v>20</v>
      </c>
      <c r="F204" s="1" t="s">
        <v>134</v>
      </c>
      <c r="G204" s="1" t="s">
        <v>148</v>
      </c>
      <c r="H204" s="1" t="s">
        <v>163</v>
      </c>
      <c r="I204" s="13" t="s">
        <v>71</v>
      </c>
      <c r="J204" s="104">
        <f>J205</f>
        <v>116245370</v>
      </c>
      <c r="K204" s="104">
        <f t="shared" si="232"/>
        <v>118721590.56</v>
      </c>
      <c r="L204" s="104">
        <f t="shared" si="232"/>
        <v>121831156.06</v>
      </c>
      <c r="M204" s="104">
        <f t="shared" si="232"/>
        <v>0</v>
      </c>
      <c r="N204" s="104">
        <f t="shared" si="232"/>
        <v>0</v>
      </c>
      <c r="O204" s="104">
        <f t="shared" si="232"/>
        <v>0</v>
      </c>
      <c r="P204" s="104">
        <f t="shared" si="208"/>
        <v>116245370</v>
      </c>
      <c r="Q204" s="104">
        <f t="shared" si="209"/>
        <v>118721590.56</v>
      </c>
      <c r="R204" s="104">
        <f t="shared" si="210"/>
        <v>121831156.06</v>
      </c>
      <c r="S204" s="104">
        <f t="shared" si="233"/>
        <v>0</v>
      </c>
      <c r="T204" s="104">
        <f t="shared" si="233"/>
        <v>0</v>
      </c>
      <c r="U204" s="104">
        <f t="shared" si="233"/>
        <v>0</v>
      </c>
      <c r="V204" s="104">
        <f t="shared" si="223"/>
        <v>116245370</v>
      </c>
      <c r="W204" s="104">
        <f t="shared" si="224"/>
        <v>118721590.56</v>
      </c>
      <c r="X204" s="104">
        <f t="shared" si="225"/>
        <v>121831156.06</v>
      </c>
    </row>
    <row r="205" spans="1:24">
      <c r="A205" s="11" t="s">
        <v>75</v>
      </c>
      <c r="B205" s="65" t="s">
        <v>41</v>
      </c>
      <c r="C205" s="1" t="s">
        <v>2</v>
      </c>
      <c r="D205" s="1" t="s">
        <v>17</v>
      </c>
      <c r="E205" s="1" t="s">
        <v>20</v>
      </c>
      <c r="F205" s="1" t="s">
        <v>134</v>
      </c>
      <c r="G205" s="1" t="s">
        <v>148</v>
      </c>
      <c r="H205" s="1" t="s">
        <v>163</v>
      </c>
      <c r="I205" s="13" t="s">
        <v>74</v>
      </c>
      <c r="J205" s="104">
        <f>113745370+2500000</f>
        <v>116245370</v>
      </c>
      <c r="K205" s="104">
        <f>116221590.56+2500000</f>
        <v>118721590.56</v>
      </c>
      <c r="L205" s="104">
        <f>120331156.06+1500000</f>
        <v>121831156.06</v>
      </c>
      <c r="M205" s="104"/>
      <c r="N205" s="104"/>
      <c r="O205" s="104"/>
      <c r="P205" s="104">
        <f t="shared" si="208"/>
        <v>116245370</v>
      </c>
      <c r="Q205" s="104">
        <f t="shared" si="209"/>
        <v>118721590.56</v>
      </c>
      <c r="R205" s="104">
        <f t="shared" si="210"/>
        <v>121831156.06</v>
      </c>
      <c r="S205" s="104"/>
      <c r="T205" s="104"/>
      <c r="U205" s="104"/>
      <c r="V205" s="104">
        <f t="shared" si="223"/>
        <v>116245370</v>
      </c>
      <c r="W205" s="104">
        <f t="shared" si="224"/>
        <v>118721590.56</v>
      </c>
      <c r="X205" s="104">
        <f t="shared" si="225"/>
        <v>121831156.06</v>
      </c>
    </row>
    <row r="206" spans="1:24" ht="25.5">
      <c r="A206" s="2" t="s">
        <v>377</v>
      </c>
      <c r="B206" s="65" t="s">
        <v>41</v>
      </c>
      <c r="C206" s="1" t="s">
        <v>2</v>
      </c>
      <c r="D206" s="1" t="s">
        <v>17</v>
      </c>
      <c r="E206" s="1" t="s">
        <v>20</v>
      </c>
      <c r="F206" s="1" t="s">
        <v>134</v>
      </c>
      <c r="G206" s="65" t="s">
        <v>148</v>
      </c>
      <c r="H206" s="59" t="s">
        <v>226</v>
      </c>
      <c r="I206" s="116"/>
      <c r="J206" s="104">
        <f>J207</f>
        <v>5000000</v>
      </c>
      <c r="K206" s="104">
        <f t="shared" ref="K206:O207" si="234">K207</f>
        <v>4000000</v>
      </c>
      <c r="L206" s="104">
        <f t="shared" si="234"/>
        <v>1000000</v>
      </c>
      <c r="M206" s="104">
        <f t="shared" si="234"/>
        <v>0</v>
      </c>
      <c r="N206" s="104">
        <f t="shared" si="234"/>
        <v>0</v>
      </c>
      <c r="O206" s="104">
        <f t="shared" si="234"/>
        <v>0</v>
      </c>
      <c r="P206" s="104">
        <f t="shared" si="208"/>
        <v>5000000</v>
      </c>
      <c r="Q206" s="104">
        <f t="shared" si="209"/>
        <v>4000000</v>
      </c>
      <c r="R206" s="104">
        <f t="shared" si="210"/>
        <v>1000000</v>
      </c>
      <c r="S206" s="104">
        <f t="shared" ref="S206:U207" si="235">S207</f>
        <v>-330.6</v>
      </c>
      <c r="T206" s="104">
        <f t="shared" si="235"/>
        <v>0</v>
      </c>
      <c r="U206" s="104">
        <f t="shared" si="235"/>
        <v>0</v>
      </c>
      <c r="V206" s="104">
        <f t="shared" si="223"/>
        <v>4999669.4000000004</v>
      </c>
      <c r="W206" s="104">
        <f t="shared" si="224"/>
        <v>4000000</v>
      </c>
      <c r="X206" s="104">
        <f t="shared" si="225"/>
        <v>1000000</v>
      </c>
    </row>
    <row r="207" spans="1:24" ht="25.5">
      <c r="A207" s="7" t="s">
        <v>72</v>
      </c>
      <c r="B207" s="65" t="s">
        <v>41</v>
      </c>
      <c r="C207" s="1" t="s">
        <v>2</v>
      </c>
      <c r="D207" s="1" t="s">
        <v>17</v>
      </c>
      <c r="E207" s="1" t="s">
        <v>20</v>
      </c>
      <c r="F207" s="1" t="s">
        <v>134</v>
      </c>
      <c r="G207" s="65" t="s">
        <v>148</v>
      </c>
      <c r="H207" s="59" t="s">
        <v>226</v>
      </c>
      <c r="I207" s="116" t="s">
        <v>71</v>
      </c>
      <c r="J207" s="104">
        <f>J208</f>
        <v>5000000</v>
      </c>
      <c r="K207" s="104">
        <f t="shared" si="234"/>
        <v>4000000</v>
      </c>
      <c r="L207" s="104">
        <f t="shared" si="234"/>
        <v>1000000</v>
      </c>
      <c r="M207" s="104">
        <f t="shared" si="234"/>
        <v>0</v>
      </c>
      <c r="N207" s="104">
        <f t="shared" si="234"/>
        <v>0</v>
      </c>
      <c r="O207" s="104">
        <f t="shared" si="234"/>
        <v>0</v>
      </c>
      <c r="P207" s="104">
        <f t="shared" si="208"/>
        <v>5000000</v>
      </c>
      <c r="Q207" s="104">
        <f t="shared" si="209"/>
        <v>4000000</v>
      </c>
      <c r="R207" s="104">
        <f t="shared" si="210"/>
        <v>1000000</v>
      </c>
      <c r="S207" s="104">
        <f t="shared" si="235"/>
        <v>-330.6</v>
      </c>
      <c r="T207" s="104">
        <f t="shared" si="235"/>
        <v>0</v>
      </c>
      <c r="U207" s="104">
        <f t="shared" si="235"/>
        <v>0</v>
      </c>
      <c r="V207" s="104">
        <f t="shared" si="223"/>
        <v>4999669.4000000004</v>
      </c>
      <c r="W207" s="104">
        <f t="shared" si="224"/>
        <v>4000000</v>
      </c>
      <c r="X207" s="104">
        <f t="shared" si="225"/>
        <v>1000000</v>
      </c>
    </row>
    <row r="208" spans="1:24" s="85" customFormat="1">
      <c r="A208" s="11" t="s">
        <v>75</v>
      </c>
      <c r="B208" s="65" t="s">
        <v>41</v>
      </c>
      <c r="C208" s="1" t="s">
        <v>2</v>
      </c>
      <c r="D208" s="1" t="s">
        <v>17</v>
      </c>
      <c r="E208" s="1" t="s">
        <v>20</v>
      </c>
      <c r="F208" s="1" t="s">
        <v>134</v>
      </c>
      <c r="G208" s="65" t="s">
        <v>148</v>
      </c>
      <c r="H208" s="59" t="s">
        <v>226</v>
      </c>
      <c r="I208" s="116" t="s">
        <v>74</v>
      </c>
      <c r="J208" s="104">
        <v>5000000</v>
      </c>
      <c r="K208" s="104">
        <v>4000000</v>
      </c>
      <c r="L208" s="104">
        <v>1000000</v>
      </c>
      <c r="M208" s="104"/>
      <c r="N208" s="104"/>
      <c r="O208" s="104"/>
      <c r="P208" s="104">
        <f t="shared" si="208"/>
        <v>5000000</v>
      </c>
      <c r="Q208" s="104">
        <f t="shared" si="209"/>
        <v>4000000</v>
      </c>
      <c r="R208" s="104">
        <f t="shared" si="210"/>
        <v>1000000</v>
      </c>
      <c r="S208" s="104">
        <v>-330.6</v>
      </c>
      <c r="T208" s="104"/>
      <c r="U208" s="104"/>
      <c r="V208" s="104">
        <f t="shared" si="223"/>
        <v>4999669.4000000004</v>
      </c>
      <c r="W208" s="104">
        <f t="shared" si="224"/>
        <v>4000000</v>
      </c>
      <c r="X208" s="104">
        <f t="shared" si="225"/>
        <v>1000000</v>
      </c>
    </row>
    <row r="209" spans="1:24" s="85" customFormat="1" ht="38.25">
      <c r="A209" s="2" t="s">
        <v>381</v>
      </c>
      <c r="B209" s="65" t="s">
        <v>41</v>
      </c>
      <c r="C209" s="1" t="s">
        <v>2</v>
      </c>
      <c r="D209" s="1" t="s">
        <v>17</v>
      </c>
      <c r="E209" s="1" t="s">
        <v>20</v>
      </c>
      <c r="F209" s="1" t="s">
        <v>134</v>
      </c>
      <c r="G209" s="1" t="s">
        <v>148</v>
      </c>
      <c r="H209" s="1" t="s">
        <v>156</v>
      </c>
      <c r="I209" s="13"/>
      <c r="J209" s="104">
        <f>J210</f>
        <v>39035.279999999999</v>
      </c>
      <c r="K209" s="104">
        <f t="shared" ref="K209:O210" si="236">K210</f>
        <v>40596.400000000001</v>
      </c>
      <c r="L209" s="104">
        <f t="shared" si="236"/>
        <v>42220.25</v>
      </c>
      <c r="M209" s="104">
        <f t="shared" si="236"/>
        <v>0</v>
      </c>
      <c r="N209" s="104">
        <f t="shared" si="236"/>
        <v>0</v>
      </c>
      <c r="O209" s="104">
        <f t="shared" si="236"/>
        <v>0</v>
      </c>
      <c r="P209" s="104">
        <f t="shared" si="208"/>
        <v>39035.279999999999</v>
      </c>
      <c r="Q209" s="104">
        <f t="shared" si="209"/>
        <v>40596.400000000001</v>
      </c>
      <c r="R209" s="104">
        <f t="shared" si="210"/>
        <v>42220.25</v>
      </c>
      <c r="S209" s="104">
        <f t="shared" ref="S209:U210" si="237">S210</f>
        <v>0</v>
      </c>
      <c r="T209" s="104">
        <f t="shared" si="237"/>
        <v>0</v>
      </c>
      <c r="U209" s="104">
        <f t="shared" si="237"/>
        <v>0</v>
      </c>
      <c r="V209" s="104">
        <f t="shared" si="223"/>
        <v>39035.279999999999</v>
      </c>
      <c r="W209" s="104">
        <f t="shared" si="224"/>
        <v>40596.400000000001</v>
      </c>
      <c r="X209" s="104">
        <f t="shared" si="225"/>
        <v>42220.25</v>
      </c>
    </row>
    <row r="210" spans="1:24" s="85" customFormat="1" ht="25.5">
      <c r="A210" s="7" t="s">
        <v>72</v>
      </c>
      <c r="B210" s="65" t="s">
        <v>41</v>
      </c>
      <c r="C210" s="1" t="s">
        <v>2</v>
      </c>
      <c r="D210" s="1" t="s">
        <v>17</v>
      </c>
      <c r="E210" s="1" t="s">
        <v>20</v>
      </c>
      <c r="F210" s="1" t="s">
        <v>134</v>
      </c>
      <c r="G210" s="1" t="s">
        <v>148</v>
      </c>
      <c r="H210" s="1" t="s">
        <v>156</v>
      </c>
      <c r="I210" s="13" t="s">
        <v>71</v>
      </c>
      <c r="J210" s="104">
        <f>J211</f>
        <v>39035.279999999999</v>
      </c>
      <c r="K210" s="104">
        <f t="shared" si="236"/>
        <v>40596.400000000001</v>
      </c>
      <c r="L210" s="104">
        <f t="shared" si="236"/>
        <v>42220.25</v>
      </c>
      <c r="M210" s="104">
        <f t="shared" si="236"/>
        <v>0</v>
      </c>
      <c r="N210" s="104">
        <f t="shared" si="236"/>
        <v>0</v>
      </c>
      <c r="O210" s="104">
        <f t="shared" si="236"/>
        <v>0</v>
      </c>
      <c r="P210" s="104">
        <f t="shared" si="208"/>
        <v>39035.279999999999</v>
      </c>
      <c r="Q210" s="104">
        <f t="shared" si="209"/>
        <v>40596.400000000001</v>
      </c>
      <c r="R210" s="104">
        <f t="shared" si="210"/>
        <v>42220.25</v>
      </c>
      <c r="S210" s="104">
        <f t="shared" si="237"/>
        <v>0</v>
      </c>
      <c r="T210" s="104">
        <f t="shared" si="237"/>
        <v>0</v>
      </c>
      <c r="U210" s="104">
        <f t="shared" si="237"/>
        <v>0</v>
      </c>
      <c r="V210" s="104">
        <f t="shared" si="223"/>
        <v>39035.279999999999</v>
      </c>
      <c r="W210" s="104">
        <f t="shared" si="224"/>
        <v>40596.400000000001</v>
      </c>
      <c r="X210" s="104">
        <f t="shared" si="225"/>
        <v>42220.25</v>
      </c>
    </row>
    <row r="211" spans="1:24" s="85" customFormat="1">
      <c r="A211" s="11" t="s">
        <v>75</v>
      </c>
      <c r="B211" s="65" t="s">
        <v>41</v>
      </c>
      <c r="C211" s="1" t="s">
        <v>2</v>
      </c>
      <c r="D211" s="1" t="s">
        <v>17</v>
      </c>
      <c r="E211" s="1" t="s">
        <v>20</v>
      </c>
      <c r="F211" s="1" t="s">
        <v>134</v>
      </c>
      <c r="G211" s="1" t="s">
        <v>148</v>
      </c>
      <c r="H211" s="1" t="s">
        <v>156</v>
      </c>
      <c r="I211" s="13" t="s">
        <v>74</v>
      </c>
      <c r="J211" s="104">
        <v>39035.279999999999</v>
      </c>
      <c r="K211" s="104">
        <v>40596.400000000001</v>
      </c>
      <c r="L211" s="104">
        <v>42220.25</v>
      </c>
      <c r="M211" s="104"/>
      <c r="N211" s="104"/>
      <c r="O211" s="104"/>
      <c r="P211" s="104">
        <f t="shared" si="208"/>
        <v>39035.279999999999</v>
      </c>
      <c r="Q211" s="104">
        <f t="shared" si="209"/>
        <v>40596.400000000001</v>
      </c>
      <c r="R211" s="104">
        <f t="shared" si="210"/>
        <v>42220.25</v>
      </c>
      <c r="S211" s="104"/>
      <c r="T211" s="104"/>
      <c r="U211" s="104"/>
      <c r="V211" s="104">
        <f t="shared" si="223"/>
        <v>39035.279999999999</v>
      </c>
      <c r="W211" s="104">
        <f t="shared" si="224"/>
        <v>40596.400000000001</v>
      </c>
      <c r="X211" s="104">
        <f t="shared" si="225"/>
        <v>42220.25</v>
      </c>
    </row>
    <row r="212" spans="1:24" s="85" customFormat="1">
      <c r="A212" s="11" t="s">
        <v>240</v>
      </c>
      <c r="B212" s="65" t="s">
        <v>41</v>
      </c>
      <c r="C212" s="1" t="s">
        <v>2</v>
      </c>
      <c r="D212" s="1" t="s">
        <v>17</v>
      </c>
      <c r="E212" s="1" t="s">
        <v>20</v>
      </c>
      <c r="F212" s="1" t="s">
        <v>134</v>
      </c>
      <c r="G212" s="1" t="s">
        <v>148</v>
      </c>
      <c r="H212" s="1" t="s">
        <v>241</v>
      </c>
      <c r="I212" s="13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>
        <f>S213</f>
        <v>2890000</v>
      </c>
      <c r="T212" s="104">
        <f t="shared" ref="T212:U213" si="238">T213</f>
        <v>0</v>
      </c>
      <c r="U212" s="104">
        <f t="shared" si="238"/>
        <v>0</v>
      </c>
      <c r="V212" s="104">
        <f t="shared" ref="V212:V214" si="239">P212+S212</f>
        <v>2890000</v>
      </c>
      <c r="W212" s="104">
        <f t="shared" ref="W212:W214" si="240">Q212+T212</f>
        <v>0</v>
      </c>
      <c r="X212" s="104">
        <f t="shared" ref="X212:X214" si="241">R212+U212</f>
        <v>0</v>
      </c>
    </row>
    <row r="213" spans="1:24" s="85" customFormat="1" ht="25.5">
      <c r="A213" s="7" t="s">
        <v>72</v>
      </c>
      <c r="B213" s="65" t="s">
        <v>41</v>
      </c>
      <c r="C213" s="1" t="s">
        <v>2</v>
      </c>
      <c r="D213" s="1" t="s">
        <v>17</v>
      </c>
      <c r="E213" s="1" t="s">
        <v>20</v>
      </c>
      <c r="F213" s="1" t="s">
        <v>134</v>
      </c>
      <c r="G213" s="1" t="s">
        <v>148</v>
      </c>
      <c r="H213" s="1" t="s">
        <v>241</v>
      </c>
      <c r="I213" s="13" t="s">
        <v>71</v>
      </c>
      <c r="J213" s="104"/>
      <c r="K213" s="104"/>
      <c r="L213" s="104"/>
      <c r="M213" s="104"/>
      <c r="N213" s="104"/>
      <c r="O213" s="104"/>
      <c r="P213" s="104"/>
      <c r="Q213" s="104"/>
      <c r="R213" s="104"/>
      <c r="S213" s="104">
        <f>S214</f>
        <v>2890000</v>
      </c>
      <c r="T213" s="104">
        <f t="shared" si="238"/>
        <v>0</v>
      </c>
      <c r="U213" s="104">
        <f t="shared" si="238"/>
        <v>0</v>
      </c>
      <c r="V213" s="104">
        <f t="shared" si="239"/>
        <v>2890000</v>
      </c>
      <c r="W213" s="104">
        <f t="shared" si="240"/>
        <v>0</v>
      </c>
      <c r="X213" s="104">
        <f t="shared" si="241"/>
        <v>0</v>
      </c>
    </row>
    <row r="214" spans="1:24" s="85" customFormat="1">
      <c r="A214" s="11" t="s">
        <v>75</v>
      </c>
      <c r="B214" s="65" t="s">
        <v>41</v>
      </c>
      <c r="C214" s="1" t="s">
        <v>2</v>
      </c>
      <c r="D214" s="1" t="s">
        <v>17</v>
      </c>
      <c r="E214" s="1" t="s">
        <v>20</v>
      </c>
      <c r="F214" s="1" t="s">
        <v>134</v>
      </c>
      <c r="G214" s="1" t="s">
        <v>148</v>
      </c>
      <c r="H214" s="1" t="s">
        <v>241</v>
      </c>
      <c r="I214" s="13" t="s">
        <v>74</v>
      </c>
      <c r="J214" s="104"/>
      <c r="K214" s="104"/>
      <c r="L214" s="104"/>
      <c r="M214" s="104"/>
      <c r="N214" s="104"/>
      <c r="O214" s="104"/>
      <c r="P214" s="104"/>
      <c r="Q214" s="104"/>
      <c r="R214" s="104"/>
      <c r="S214" s="104">
        <v>2890000</v>
      </c>
      <c r="T214" s="104"/>
      <c r="U214" s="104"/>
      <c r="V214" s="104">
        <f t="shared" si="239"/>
        <v>2890000</v>
      </c>
      <c r="W214" s="104">
        <f t="shared" si="240"/>
        <v>0</v>
      </c>
      <c r="X214" s="104">
        <f t="shared" si="241"/>
        <v>0</v>
      </c>
    </row>
    <row r="215" spans="1:24" s="85" customFormat="1" ht="38.25">
      <c r="A215" s="11" t="s">
        <v>237</v>
      </c>
      <c r="B215" s="65" t="s">
        <v>41</v>
      </c>
      <c r="C215" s="1" t="s">
        <v>2</v>
      </c>
      <c r="D215" s="1" t="s">
        <v>17</v>
      </c>
      <c r="E215" s="1" t="s">
        <v>20</v>
      </c>
      <c r="F215" s="1" t="s">
        <v>134</v>
      </c>
      <c r="G215" s="1" t="s">
        <v>148</v>
      </c>
      <c r="H215" s="1" t="s">
        <v>236</v>
      </c>
      <c r="I215" s="13"/>
      <c r="J215" s="104">
        <f>J216</f>
        <v>12898435</v>
      </c>
      <c r="K215" s="104">
        <f t="shared" ref="K215:O216" si="242">K216</f>
        <v>12735130</v>
      </c>
      <c r="L215" s="104">
        <f t="shared" si="242"/>
        <v>12735130</v>
      </c>
      <c r="M215" s="104">
        <f t="shared" si="242"/>
        <v>0</v>
      </c>
      <c r="N215" s="104">
        <f t="shared" si="242"/>
        <v>0</v>
      </c>
      <c r="O215" s="104">
        <f t="shared" si="242"/>
        <v>0</v>
      </c>
      <c r="P215" s="104">
        <f t="shared" si="208"/>
        <v>12898435</v>
      </c>
      <c r="Q215" s="104">
        <f t="shared" si="209"/>
        <v>12735130</v>
      </c>
      <c r="R215" s="104">
        <f t="shared" si="210"/>
        <v>12735130</v>
      </c>
      <c r="S215" s="104">
        <f t="shared" ref="S215:U216" si="243">S216</f>
        <v>0</v>
      </c>
      <c r="T215" s="104">
        <f t="shared" si="243"/>
        <v>0</v>
      </c>
      <c r="U215" s="104">
        <f t="shared" si="243"/>
        <v>0</v>
      </c>
      <c r="V215" s="104">
        <f t="shared" si="223"/>
        <v>12898435</v>
      </c>
      <c r="W215" s="104">
        <f t="shared" si="224"/>
        <v>12735130</v>
      </c>
      <c r="X215" s="104">
        <f t="shared" si="225"/>
        <v>12735130</v>
      </c>
    </row>
    <row r="216" spans="1:24" s="85" customFormat="1" ht="25.5">
      <c r="A216" s="7" t="s">
        <v>72</v>
      </c>
      <c r="B216" s="65" t="s">
        <v>41</v>
      </c>
      <c r="C216" s="1" t="s">
        <v>2</v>
      </c>
      <c r="D216" s="1" t="s">
        <v>17</v>
      </c>
      <c r="E216" s="1" t="s">
        <v>20</v>
      </c>
      <c r="F216" s="1" t="s">
        <v>134</v>
      </c>
      <c r="G216" s="1" t="s">
        <v>148</v>
      </c>
      <c r="H216" s="1" t="s">
        <v>236</v>
      </c>
      <c r="I216" s="13" t="s">
        <v>71</v>
      </c>
      <c r="J216" s="104">
        <f>J217</f>
        <v>12898435</v>
      </c>
      <c r="K216" s="104">
        <f t="shared" si="242"/>
        <v>12735130</v>
      </c>
      <c r="L216" s="104">
        <f t="shared" si="242"/>
        <v>12735130</v>
      </c>
      <c r="M216" s="104">
        <f t="shared" si="242"/>
        <v>0</v>
      </c>
      <c r="N216" s="104">
        <f t="shared" si="242"/>
        <v>0</v>
      </c>
      <c r="O216" s="104">
        <f t="shared" si="242"/>
        <v>0</v>
      </c>
      <c r="P216" s="104">
        <f t="shared" si="208"/>
        <v>12898435</v>
      </c>
      <c r="Q216" s="104">
        <f t="shared" si="209"/>
        <v>12735130</v>
      </c>
      <c r="R216" s="104">
        <f t="shared" si="210"/>
        <v>12735130</v>
      </c>
      <c r="S216" s="104">
        <f t="shared" si="243"/>
        <v>0</v>
      </c>
      <c r="T216" s="104">
        <f t="shared" si="243"/>
        <v>0</v>
      </c>
      <c r="U216" s="104">
        <f t="shared" si="243"/>
        <v>0</v>
      </c>
      <c r="V216" s="104">
        <f t="shared" si="223"/>
        <v>12898435</v>
      </c>
      <c r="W216" s="104">
        <f t="shared" si="224"/>
        <v>12735130</v>
      </c>
      <c r="X216" s="104">
        <f t="shared" si="225"/>
        <v>12735130</v>
      </c>
    </row>
    <row r="217" spans="1:24">
      <c r="A217" s="11" t="s">
        <v>75</v>
      </c>
      <c r="B217" s="65" t="s">
        <v>41</v>
      </c>
      <c r="C217" s="1" t="s">
        <v>2</v>
      </c>
      <c r="D217" s="1" t="s">
        <v>17</v>
      </c>
      <c r="E217" s="1" t="s">
        <v>20</v>
      </c>
      <c r="F217" s="1" t="s">
        <v>134</v>
      </c>
      <c r="G217" s="1" t="s">
        <v>148</v>
      </c>
      <c r="H217" s="1" t="s">
        <v>236</v>
      </c>
      <c r="I217" s="13" t="s">
        <v>74</v>
      </c>
      <c r="J217" s="104">
        <v>12898435</v>
      </c>
      <c r="K217" s="104">
        <v>12735130</v>
      </c>
      <c r="L217" s="104">
        <v>12735130</v>
      </c>
      <c r="M217" s="104"/>
      <c r="N217" s="104"/>
      <c r="O217" s="104"/>
      <c r="P217" s="104">
        <f t="shared" si="208"/>
        <v>12898435</v>
      </c>
      <c r="Q217" s="104">
        <f t="shared" si="209"/>
        <v>12735130</v>
      </c>
      <c r="R217" s="104">
        <f t="shared" si="210"/>
        <v>12735130</v>
      </c>
      <c r="S217" s="104"/>
      <c r="T217" s="104"/>
      <c r="U217" s="104"/>
      <c r="V217" s="104">
        <f t="shared" si="223"/>
        <v>12898435</v>
      </c>
      <c r="W217" s="104">
        <f t="shared" si="224"/>
        <v>12735130</v>
      </c>
      <c r="X217" s="104">
        <f t="shared" si="225"/>
        <v>12735130</v>
      </c>
    </row>
    <row r="218" spans="1:24" ht="63.75">
      <c r="A218" s="11" t="s">
        <v>313</v>
      </c>
      <c r="B218" s="65" t="s">
        <v>41</v>
      </c>
      <c r="C218" s="1" t="s">
        <v>2</v>
      </c>
      <c r="D218" s="1" t="s">
        <v>17</v>
      </c>
      <c r="E218" s="1" t="s">
        <v>20</v>
      </c>
      <c r="F218" s="1" t="s">
        <v>134</v>
      </c>
      <c r="G218" s="65" t="s">
        <v>148</v>
      </c>
      <c r="H218" s="59" t="s">
        <v>206</v>
      </c>
      <c r="I218" s="92"/>
      <c r="J218" s="104">
        <f>J219</f>
        <v>9439451.1999999993</v>
      </c>
      <c r="K218" s="104">
        <f t="shared" ref="K218:O219" si="244">K219</f>
        <v>9817028.3699999992</v>
      </c>
      <c r="L218" s="104">
        <f t="shared" si="244"/>
        <v>11141166.16</v>
      </c>
      <c r="M218" s="104">
        <f t="shared" si="244"/>
        <v>-1071950.78</v>
      </c>
      <c r="N218" s="104">
        <f t="shared" si="244"/>
        <v>-797028.37</v>
      </c>
      <c r="O218" s="104">
        <f t="shared" si="244"/>
        <v>-678629.68</v>
      </c>
      <c r="P218" s="104">
        <f t="shared" si="208"/>
        <v>8367500.419999999</v>
      </c>
      <c r="Q218" s="104">
        <f t="shared" si="209"/>
        <v>9020000</v>
      </c>
      <c r="R218" s="104">
        <f t="shared" si="210"/>
        <v>10462536.48</v>
      </c>
      <c r="S218" s="104">
        <f t="shared" ref="S218:U219" si="245">S219</f>
        <v>-70000</v>
      </c>
      <c r="T218" s="104">
        <f t="shared" si="245"/>
        <v>0</v>
      </c>
      <c r="U218" s="104">
        <f t="shared" si="245"/>
        <v>0</v>
      </c>
      <c r="V218" s="104">
        <f t="shared" si="223"/>
        <v>8297500.419999999</v>
      </c>
      <c r="W218" s="104">
        <f t="shared" si="224"/>
        <v>9020000</v>
      </c>
      <c r="X218" s="104">
        <f t="shared" si="225"/>
        <v>10462536.48</v>
      </c>
    </row>
    <row r="219" spans="1:24" ht="25.5">
      <c r="A219" s="7" t="s">
        <v>72</v>
      </c>
      <c r="B219" s="65" t="s">
        <v>41</v>
      </c>
      <c r="C219" s="1" t="s">
        <v>2</v>
      </c>
      <c r="D219" s="1" t="s">
        <v>17</v>
      </c>
      <c r="E219" s="1" t="s">
        <v>20</v>
      </c>
      <c r="F219" s="1" t="s">
        <v>134</v>
      </c>
      <c r="G219" s="65" t="s">
        <v>148</v>
      </c>
      <c r="H219" s="59" t="s">
        <v>206</v>
      </c>
      <c r="I219" s="116" t="s">
        <v>71</v>
      </c>
      <c r="J219" s="104">
        <f>J220</f>
        <v>9439451.1999999993</v>
      </c>
      <c r="K219" s="104">
        <f t="shared" si="244"/>
        <v>9817028.3699999992</v>
      </c>
      <c r="L219" s="104">
        <f t="shared" si="244"/>
        <v>11141166.16</v>
      </c>
      <c r="M219" s="104">
        <f t="shared" si="244"/>
        <v>-1071950.78</v>
      </c>
      <c r="N219" s="104">
        <f t="shared" si="244"/>
        <v>-797028.37</v>
      </c>
      <c r="O219" s="104">
        <f t="shared" si="244"/>
        <v>-678629.68</v>
      </c>
      <c r="P219" s="104">
        <f t="shared" si="208"/>
        <v>8367500.419999999</v>
      </c>
      <c r="Q219" s="104">
        <f t="shared" si="209"/>
        <v>9020000</v>
      </c>
      <c r="R219" s="104">
        <f t="shared" si="210"/>
        <v>10462536.48</v>
      </c>
      <c r="S219" s="104">
        <f t="shared" si="245"/>
        <v>-70000</v>
      </c>
      <c r="T219" s="104">
        <f t="shared" si="245"/>
        <v>0</v>
      </c>
      <c r="U219" s="104">
        <f t="shared" si="245"/>
        <v>0</v>
      </c>
      <c r="V219" s="104">
        <f t="shared" si="223"/>
        <v>8297500.419999999</v>
      </c>
      <c r="W219" s="104">
        <f t="shared" si="224"/>
        <v>9020000</v>
      </c>
      <c r="X219" s="104">
        <f t="shared" si="225"/>
        <v>10462536.48</v>
      </c>
    </row>
    <row r="220" spans="1:24" s="85" customFormat="1">
      <c r="A220" s="11" t="s">
        <v>75</v>
      </c>
      <c r="B220" s="65" t="s">
        <v>41</v>
      </c>
      <c r="C220" s="1" t="s">
        <v>2</v>
      </c>
      <c r="D220" s="1" t="s">
        <v>17</v>
      </c>
      <c r="E220" s="1" t="s">
        <v>20</v>
      </c>
      <c r="F220" s="1" t="s">
        <v>134</v>
      </c>
      <c r="G220" s="65" t="s">
        <v>148</v>
      </c>
      <c r="H220" s="59" t="s">
        <v>206</v>
      </c>
      <c r="I220" s="116" t="s">
        <v>74</v>
      </c>
      <c r="J220" s="104">
        <v>9439451.1999999993</v>
      </c>
      <c r="K220" s="104">
        <v>9817028.3699999992</v>
      </c>
      <c r="L220" s="104">
        <v>11141166.16</v>
      </c>
      <c r="M220" s="104">
        <v>-1071950.78</v>
      </c>
      <c r="N220" s="104">
        <v>-797028.37</v>
      </c>
      <c r="O220" s="104">
        <v>-678629.68</v>
      </c>
      <c r="P220" s="104">
        <f t="shared" si="208"/>
        <v>8367500.419999999</v>
      </c>
      <c r="Q220" s="104">
        <f t="shared" si="209"/>
        <v>9020000</v>
      </c>
      <c r="R220" s="104">
        <f t="shared" si="210"/>
        <v>10462536.48</v>
      </c>
      <c r="S220" s="104">
        <v>-70000</v>
      </c>
      <c r="T220" s="104"/>
      <c r="U220" s="104"/>
      <c r="V220" s="104">
        <f t="shared" si="223"/>
        <v>8297500.419999999</v>
      </c>
      <c r="W220" s="104">
        <f t="shared" si="224"/>
        <v>9020000</v>
      </c>
      <c r="X220" s="104">
        <f t="shared" si="225"/>
        <v>10462536.48</v>
      </c>
    </row>
    <row r="221" spans="1:24" s="85" customFormat="1" ht="25.5">
      <c r="A221" s="7" t="s">
        <v>394</v>
      </c>
      <c r="B221" s="65" t="s">
        <v>41</v>
      </c>
      <c r="C221" s="1" t="s">
        <v>2</v>
      </c>
      <c r="D221" s="1" t="s">
        <v>17</v>
      </c>
      <c r="E221" s="1" t="s">
        <v>20</v>
      </c>
      <c r="F221" s="1" t="s">
        <v>134</v>
      </c>
      <c r="G221" s="1" t="s">
        <v>148</v>
      </c>
      <c r="H221" s="1" t="s">
        <v>243</v>
      </c>
      <c r="I221" s="13"/>
      <c r="J221" s="104">
        <f>J222</f>
        <v>164706721</v>
      </c>
      <c r="K221" s="104">
        <f t="shared" ref="K221:O222" si="246">K222</f>
        <v>157297771</v>
      </c>
      <c r="L221" s="104">
        <f t="shared" si="246"/>
        <v>162917253</v>
      </c>
      <c r="M221" s="104">
        <f t="shared" si="246"/>
        <v>0</v>
      </c>
      <c r="N221" s="104">
        <f t="shared" si="246"/>
        <v>0</v>
      </c>
      <c r="O221" s="104">
        <f t="shared" si="246"/>
        <v>0</v>
      </c>
      <c r="P221" s="104">
        <f t="shared" si="208"/>
        <v>164706721</v>
      </c>
      <c r="Q221" s="104">
        <f t="shared" si="209"/>
        <v>157297771</v>
      </c>
      <c r="R221" s="104">
        <f t="shared" si="210"/>
        <v>162917253</v>
      </c>
      <c r="S221" s="104">
        <f t="shared" ref="S221:U222" si="247">S222</f>
        <v>789400</v>
      </c>
      <c r="T221" s="104">
        <f t="shared" si="247"/>
        <v>0</v>
      </c>
      <c r="U221" s="104">
        <f t="shared" si="247"/>
        <v>0</v>
      </c>
      <c r="V221" s="104">
        <f t="shared" si="223"/>
        <v>165496121</v>
      </c>
      <c r="W221" s="104">
        <f t="shared" si="224"/>
        <v>157297771</v>
      </c>
      <c r="X221" s="104">
        <f t="shared" si="225"/>
        <v>162917253</v>
      </c>
    </row>
    <row r="222" spans="1:24" s="85" customFormat="1" ht="25.5">
      <c r="A222" s="7" t="s">
        <v>72</v>
      </c>
      <c r="B222" s="65" t="s">
        <v>41</v>
      </c>
      <c r="C222" s="1" t="s">
        <v>2</v>
      </c>
      <c r="D222" s="1" t="s">
        <v>17</v>
      </c>
      <c r="E222" s="1" t="s">
        <v>20</v>
      </c>
      <c r="F222" s="1" t="s">
        <v>134</v>
      </c>
      <c r="G222" s="1" t="s">
        <v>148</v>
      </c>
      <c r="H222" s="1" t="s">
        <v>243</v>
      </c>
      <c r="I222" s="13" t="s">
        <v>71</v>
      </c>
      <c r="J222" s="104">
        <f>J223</f>
        <v>164706721</v>
      </c>
      <c r="K222" s="104">
        <f t="shared" si="246"/>
        <v>157297771</v>
      </c>
      <c r="L222" s="104">
        <f t="shared" si="246"/>
        <v>162917253</v>
      </c>
      <c r="M222" s="104">
        <f t="shared" si="246"/>
        <v>0</v>
      </c>
      <c r="N222" s="104">
        <f t="shared" si="246"/>
        <v>0</v>
      </c>
      <c r="O222" s="104">
        <f t="shared" si="246"/>
        <v>0</v>
      </c>
      <c r="P222" s="104">
        <f t="shared" si="208"/>
        <v>164706721</v>
      </c>
      <c r="Q222" s="104">
        <f t="shared" si="209"/>
        <v>157297771</v>
      </c>
      <c r="R222" s="104">
        <f t="shared" si="210"/>
        <v>162917253</v>
      </c>
      <c r="S222" s="104">
        <f t="shared" si="247"/>
        <v>789400</v>
      </c>
      <c r="T222" s="104">
        <f t="shared" si="247"/>
        <v>0</v>
      </c>
      <c r="U222" s="104">
        <f t="shared" si="247"/>
        <v>0</v>
      </c>
      <c r="V222" s="104">
        <f t="shared" si="223"/>
        <v>165496121</v>
      </c>
      <c r="W222" s="104">
        <f t="shared" si="224"/>
        <v>157297771</v>
      </c>
      <c r="X222" s="104">
        <f t="shared" si="225"/>
        <v>162917253</v>
      </c>
    </row>
    <row r="223" spans="1:24" s="85" customFormat="1">
      <c r="A223" s="11" t="s">
        <v>75</v>
      </c>
      <c r="B223" s="65" t="s">
        <v>41</v>
      </c>
      <c r="C223" s="1" t="s">
        <v>2</v>
      </c>
      <c r="D223" s="1" t="s">
        <v>17</v>
      </c>
      <c r="E223" s="1" t="s">
        <v>20</v>
      </c>
      <c r="F223" s="1" t="s">
        <v>134</v>
      </c>
      <c r="G223" s="1" t="s">
        <v>148</v>
      </c>
      <c r="H223" s="1" t="s">
        <v>243</v>
      </c>
      <c r="I223" s="13" t="s">
        <v>74</v>
      </c>
      <c r="J223" s="104">
        <v>164706721</v>
      </c>
      <c r="K223" s="104">
        <v>157297771</v>
      </c>
      <c r="L223" s="104">
        <v>162917253</v>
      </c>
      <c r="M223" s="104"/>
      <c r="N223" s="104"/>
      <c r="O223" s="104"/>
      <c r="P223" s="104">
        <f t="shared" si="208"/>
        <v>164706721</v>
      </c>
      <c r="Q223" s="104">
        <f t="shared" si="209"/>
        <v>157297771</v>
      </c>
      <c r="R223" s="104">
        <f t="shared" si="210"/>
        <v>162917253</v>
      </c>
      <c r="S223" s="104">
        <v>789400</v>
      </c>
      <c r="T223" s="104"/>
      <c r="U223" s="104"/>
      <c r="V223" s="104">
        <f t="shared" si="223"/>
        <v>165496121</v>
      </c>
      <c r="W223" s="104">
        <f t="shared" si="224"/>
        <v>157297771</v>
      </c>
      <c r="X223" s="104">
        <f t="shared" si="225"/>
        <v>162917253</v>
      </c>
    </row>
    <row r="224" spans="1:24" s="85" customFormat="1" ht="51">
      <c r="A224" s="11" t="s">
        <v>301</v>
      </c>
      <c r="B224" s="65" t="s">
        <v>41</v>
      </c>
      <c r="C224" s="1" t="s">
        <v>2</v>
      </c>
      <c r="D224" s="1" t="s">
        <v>17</v>
      </c>
      <c r="E224" s="1" t="s">
        <v>20</v>
      </c>
      <c r="F224" s="1" t="s">
        <v>134</v>
      </c>
      <c r="G224" s="1" t="s">
        <v>148</v>
      </c>
      <c r="H224" s="1" t="s">
        <v>254</v>
      </c>
      <c r="I224" s="13"/>
      <c r="J224" s="104">
        <f>J225</f>
        <v>235092</v>
      </c>
      <c r="K224" s="104">
        <f t="shared" ref="K224:O225" si="248">K225</f>
        <v>235092</v>
      </c>
      <c r="L224" s="104">
        <f t="shared" si="248"/>
        <v>235092</v>
      </c>
      <c r="M224" s="104">
        <f t="shared" si="248"/>
        <v>0</v>
      </c>
      <c r="N224" s="104">
        <f t="shared" si="248"/>
        <v>0</v>
      </c>
      <c r="O224" s="104">
        <f t="shared" si="248"/>
        <v>0</v>
      </c>
      <c r="P224" s="104">
        <f t="shared" si="208"/>
        <v>235092</v>
      </c>
      <c r="Q224" s="104">
        <f t="shared" si="209"/>
        <v>235092</v>
      </c>
      <c r="R224" s="104">
        <f t="shared" si="210"/>
        <v>235092</v>
      </c>
      <c r="S224" s="104">
        <f t="shared" ref="S224:U225" si="249">S225</f>
        <v>0</v>
      </c>
      <c r="T224" s="104">
        <f t="shared" si="249"/>
        <v>0</v>
      </c>
      <c r="U224" s="104">
        <f t="shared" si="249"/>
        <v>0</v>
      </c>
      <c r="V224" s="104">
        <f t="shared" si="223"/>
        <v>235092</v>
      </c>
      <c r="W224" s="104">
        <f t="shared" si="224"/>
        <v>235092</v>
      </c>
      <c r="X224" s="104">
        <f t="shared" si="225"/>
        <v>235092</v>
      </c>
    </row>
    <row r="225" spans="1:24" s="85" customFormat="1" ht="25.5">
      <c r="A225" s="7" t="s">
        <v>72</v>
      </c>
      <c r="B225" s="65" t="s">
        <v>41</v>
      </c>
      <c r="C225" s="1" t="s">
        <v>2</v>
      </c>
      <c r="D225" s="1" t="s">
        <v>17</v>
      </c>
      <c r="E225" s="1" t="s">
        <v>20</v>
      </c>
      <c r="F225" s="1" t="s">
        <v>134</v>
      </c>
      <c r="G225" s="1" t="s">
        <v>148</v>
      </c>
      <c r="H225" s="1" t="s">
        <v>254</v>
      </c>
      <c r="I225" s="13" t="s">
        <v>71</v>
      </c>
      <c r="J225" s="104">
        <f>J226</f>
        <v>235092</v>
      </c>
      <c r="K225" s="104">
        <f t="shared" si="248"/>
        <v>235092</v>
      </c>
      <c r="L225" s="104">
        <f t="shared" si="248"/>
        <v>235092</v>
      </c>
      <c r="M225" s="104">
        <f t="shared" si="248"/>
        <v>0</v>
      </c>
      <c r="N225" s="104">
        <f t="shared" si="248"/>
        <v>0</v>
      </c>
      <c r="O225" s="104">
        <f t="shared" si="248"/>
        <v>0</v>
      </c>
      <c r="P225" s="104">
        <f t="shared" si="208"/>
        <v>235092</v>
      </c>
      <c r="Q225" s="104">
        <f t="shared" si="209"/>
        <v>235092</v>
      </c>
      <c r="R225" s="104">
        <f t="shared" si="210"/>
        <v>235092</v>
      </c>
      <c r="S225" s="104">
        <f t="shared" si="249"/>
        <v>0</v>
      </c>
      <c r="T225" s="104">
        <f t="shared" si="249"/>
        <v>0</v>
      </c>
      <c r="U225" s="104">
        <f t="shared" si="249"/>
        <v>0</v>
      </c>
      <c r="V225" s="104">
        <f t="shared" si="223"/>
        <v>235092</v>
      </c>
      <c r="W225" s="104">
        <f t="shared" si="224"/>
        <v>235092</v>
      </c>
      <c r="X225" s="104">
        <f t="shared" si="225"/>
        <v>235092</v>
      </c>
    </row>
    <row r="226" spans="1:24" s="85" customFormat="1">
      <c r="A226" s="11" t="s">
        <v>75</v>
      </c>
      <c r="B226" s="65" t="s">
        <v>41</v>
      </c>
      <c r="C226" s="1" t="s">
        <v>2</v>
      </c>
      <c r="D226" s="1" t="s">
        <v>17</v>
      </c>
      <c r="E226" s="1" t="s">
        <v>20</v>
      </c>
      <c r="F226" s="1" t="s">
        <v>134</v>
      </c>
      <c r="G226" s="1" t="s">
        <v>148</v>
      </c>
      <c r="H226" s="1" t="s">
        <v>254</v>
      </c>
      <c r="I226" s="13" t="s">
        <v>74</v>
      </c>
      <c r="J226" s="104">
        <v>235092</v>
      </c>
      <c r="K226" s="104">
        <v>235092</v>
      </c>
      <c r="L226" s="104">
        <v>235092</v>
      </c>
      <c r="M226" s="104"/>
      <c r="N226" s="104"/>
      <c r="O226" s="104"/>
      <c r="P226" s="104">
        <f t="shared" si="208"/>
        <v>235092</v>
      </c>
      <c r="Q226" s="104">
        <f t="shared" si="209"/>
        <v>235092</v>
      </c>
      <c r="R226" s="104">
        <f t="shared" si="210"/>
        <v>235092</v>
      </c>
      <c r="S226" s="104"/>
      <c r="T226" s="104"/>
      <c r="U226" s="104"/>
      <c r="V226" s="104">
        <f t="shared" si="223"/>
        <v>235092</v>
      </c>
      <c r="W226" s="104">
        <f t="shared" si="224"/>
        <v>235092</v>
      </c>
      <c r="X226" s="104">
        <f t="shared" si="225"/>
        <v>235092</v>
      </c>
    </row>
    <row r="227" spans="1:24" s="85" customFormat="1" ht="25.5">
      <c r="A227" s="2" t="s">
        <v>141</v>
      </c>
      <c r="B227" s="65" t="s">
        <v>41</v>
      </c>
      <c r="C227" s="1" t="s">
        <v>2</v>
      </c>
      <c r="D227" s="1" t="s">
        <v>17</v>
      </c>
      <c r="E227" s="1" t="s">
        <v>20</v>
      </c>
      <c r="F227" s="1" t="s">
        <v>44</v>
      </c>
      <c r="G227" s="1" t="s">
        <v>148</v>
      </c>
      <c r="H227" s="1" t="s">
        <v>149</v>
      </c>
      <c r="I227" s="13"/>
      <c r="J227" s="104">
        <f>J228</f>
        <v>400000</v>
      </c>
      <c r="K227" s="104">
        <f t="shared" ref="K227:O228" si="250">K228</f>
        <v>400000</v>
      </c>
      <c r="L227" s="104">
        <f t="shared" si="250"/>
        <v>400000</v>
      </c>
      <c r="M227" s="104">
        <f t="shared" si="250"/>
        <v>0</v>
      </c>
      <c r="N227" s="104">
        <f t="shared" si="250"/>
        <v>0</v>
      </c>
      <c r="O227" s="104">
        <f t="shared" si="250"/>
        <v>0</v>
      </c>
      <c r="P227" s="104">
        <f t="shared" si="208"/>
        <v>400000</v>
      </c>
      <c r="Q227" s="104">
        <f t="shared" si="209"/>
        <v>400000</v>
      </c>
      <c r="R227" s="104">
        <f t="shared" si="210"/>
        <v>400000</v>
      </c>
      <c r="S227" s="104">
        <f t="shared" ref="S227:U229" si="251">S228</f>
        <v>0</v>
      </c>
      <c r="T227" s="104">
        <f t="shared" si="251"/>
        <v>0</v>
      </c>
      <c r="U227" s="104">
        <f t="shared" si="251"/>
        <v>0</v>
      </c>
      <c r="V227" s="104">
        <f t="shared" si="223"/>
        <v>400000</v>
      </c>
      <c r="W227" s="104">
        <f t="shared" si="224"/>
        <v>400000</v>
      </c>
      <c r="X227" s="104">
        <f t="shared" si="225"/>
        <v>400000</v>
      </c>
    </row>
    <row r="228" spans="1:24" s="85" customFormat="1">
      <c r="A228" s="2" t="s">
        <v>88</v>
      </c>
      <c r="B228" s="65" t="s">
        <v>41</v>
      </c>
      <c r="C228" s="1" t="s">
        <v>2</v>
      </c>
      <c r="D228" s="1" t="s">
        <v>17</v>
      </c>
      <c r="E228" s="1" t="s">
        <v>20</v>
      </c>
      <c r="F228" s="1" t="s">
        <v>44</v>
      </c>
      <c r="G228" s="1" t="s">
        <v>148</v>
      </c>
      <c r="H228" s="1" t="s">
        <v>162</v>
      </c>
      <c r="I228" s="13"/>
      <c r="J228" s="104">
        <f>J229</f>
        <v>400000</v>
      </c>
      <c r="K228" s="104">
        <f t="shared" si="250"/>
        <v>400000</v>
      </c>
      <c r="L228" s="104">
        <f t="shared" si="250"/>
        <v>400000</v>
      </c>
      <c r="M228" s="104">
        <f t="shared" si="250"/>
        <v>0</v>
      </c>
      <c r="N228" s="104">
        <f t="shared" si="250"/>
        <v>0</v>
      </c>
      <c r="O228" s="104">
        <f t="shared" si="250"/>
        <v>0</v>
      </c>
      <c r="P228" s="104">
        <f t="shared" si="208"/>
        <v>400000</v>
      </c>
      <c r="Q228" s="104">
        <f t="shared" si="209"/>
        <v>400000</v>
      </c>
      <c r="R228" s="104">
        <f t="shared" si="210"/>
        <v>400000</v>
      </c>
      <c r="S228" s="104">
        <f t="shared" si="251"/>
        <v>0</v>
      </c>
      <c r="T228" s="104">
        <f t="shared" si="251"/>
        <v>0</v>
      </c>
      <c r="U228" s="104">
        <f t="shared" si="251"/>
        <v>0</v>
      </c>
      <c r="V228" s="104">
        <f t="shared" si="223"/>
        <v>400000</v>
      </c>
      <c r="W228" s="104">
        <f t="shared" si="224"/>
        <v>400000</v>
      </c>
      <c r="X228" s="104">
        <f t="shared" si="225"/>
        <v>400000</v>
      </c>
    </row>
    <row r="229" spans="1:24" s="85" customFormat="1" ht="25.5">
      <c r="A229" s="7" t="s">
        <v>72</v>
      </c>
      <c r="B229" s="65" t="s">
        <v>41</v>
      </c>
      <c r="C229" s="1" t="s">
        <v>2</v>
      </c>
      <c r="D229" s="1" t="s">
        <v>17</v>
      </c>
      <c r="E229" s="1" t="s">
        <v>20</v>
      </c>
      <c r="F229" s="1" t="s">
        <v>44</v>
      </c>
      <c r="G229" s="1" t="s">
        <v>148</v>
      </c>
      <c r="H229" s="1" t="s">
        <v>162</v>
      </c>
      <c r="I229" s="13" t="s">
        <v>71</v>
      </c>
      <c r="J229" s="104">
        <f t="shared" ref="J229:O229" si="252">J230</f>
        <v>400000</v>
      </c>
      <c r="K229" s="104">
        <f t="shared" si="252"/>
        <v>400000</v>
      </c>
      <c r="L229" s="104">
        <f t="shared" si="252"/>
        <v>400000</v>
      </c>
      <c r="M229" s="104">
        <f t="shared" si="252"/>
        <v>0</v>
      </c>
      <c r="N229" s="104">
        <f t="shared" si="252"/>
        <v>0</v>
      </c>
      <c r="O229" s="104">
        <f t="shared" si="252"/>
        <v>0</v>
      </c>
      <c r="P229" s="104">
        <f t="shared" si="208"/>
        <v>400000</v>
      </c>
      <c r="Q229" s="104">
        <f t="shared" si="209"/>
        <v>400000</v>
      </c>
      <c r="R229" s="104">
        <f t="shared" si="210"/>
        <v>400000</v>
      </c>
      <c r="S229" s="104">
        <f t="shared" si="251"/>
        <v>0</v>
      </c>
      <c r="T229" s="104">
        <f t="shared" si="251"/>
        <v>0</v>
      </c>
      <c r="U229" s="104">
        <f t="shared" si="251"/>
        <v>0</v>
      </c>
      <c r="V229" s="104">
        <f t="shared" si="223"/>
        <v>400000</v>
      </c>
      <c r="W229" s="104">
        <f t="shared" si="224"/>
        <v>400000</v>
      </c>
      <c r="X229" s="104">
        <f t="shared" si="225"/>
        <v>400000</v>
      </c>
    </row>
    <row r="230" spans="1:24" s="85" customFormat="1">
      <c r="A230" s="11" t="s">
        <v>75</v>
      </c>
      <c r="B230" s="65" t="s">
        <v>41</v>
      </c>
      <c r="C230" s="1" t="s">
        <v>2</v>
      </c>
      <c r="D230" s="1" t="s">
        <v>17</v>
      </c>
      <c r="E230" s="1" t="s">
        <v>20</v>
      </c>
      <c r="F230" s="1" t="s">
        <v>44</v>
      </c>
      <c r="G230" s="1" t="s">
        <v>148</v>
      </c>
      <c r="H230" s="1" t="s">
        <v>162</v>
      </c>
      <c r="I230" s="13" t="s">
        <v>74</v>
      </c>
      <c r="J230" s="104">
        <v>400000</v>
      </c>
      <c r="K230" s="104">
        <v>400000</v>
      </c>
      <c r="L230" s="104">
        <v>400000</v>
      </c>
      <c r="M230" s="104"/>
      <c r="N230" s="104"/>
      <c r="O230" s="104"/>
      <c r="P230" s="104">
        <f t="shared" si="208"/>
        <v>400000</v>
      </c>
      <c r="Q230" s="104">
        <f t="shared" si="209"/>
        <v>400000</v>
      </c>
      <c r="R230" s="104">
        <f t="shared" si="210"/>
        <v>400000</v>
      </c>
      <c r="S230" s="104"/>
      <c r="T230" s="104"/>
      <c r="U230" s="104"/>
      <c r="V230" s="104">
        <f t="shared" si="223"/>
        <v>400000</v>
      </c>
      <c r="W230" s="104">
        <f t="shared" si="224"/>
        <v>400000</v>
      </c>
      <c r="X230" s="104">
        <f t="shared" si="225"/>
        <v>400000</v>
      </c>
    </row>
    <row r="231" spans="1:24" s="85" customFormat="1" ht="25.5">
      <c r="A231" s="2" t="s">
        <v>146</v>
      </c>
      <c r="B231" s="65" t="s">
        <v>41</v>
      </c>
      <c r="C231" s="1" t="s">
        <v>2</v>
      </c>
      <c r="D231" s="1" t="s">
        <v>17</v>
      </c>
      <c r="E231" s="1" t="s">
        <v>20</v>
      </c>
      <c r="F231" s="1" t="s">
        <v>114</v>
      </c>
      <c r="G231" s="1" t="s">
        <v>148</v>
      </c>
      <c r="H231" s="1" t="s">
        <v>149</v>
      </c>
      <c r="I231" s="13"/>
      <c r="J231" s="104">
        <f t="shared" ref="J231:O233" si="253">J232</f>
        <v>115000</v>
      </c>
      <c r="K231" s="104">
        <f t="shared" si="253"/>
        <v>115000</v>
      </c>
      <c r="L231" s="104">
        <f t="shared" si="253"/>
        <v>115000</v>
      </c>
      <c r="M231" s="104">
        <f t="shared" si="253"/>
        <v>0</v>
      </c>
      <c r="N231" s="104">
        <f t="shared" si="253"/>
        <v>0</v>
      </c>
      <c r="O231" s="104">
        <f t="shared" si="253"/>
        <v>0</v>
      </c>
      <c r="P231" s="104">
        <f t="shared" si="208"/>
        <v>115000</v>
      </c>
      <c r="Q231" s="104">
        <f t="shared" si="209"/>
        <v>115000</v>
      </c>
      <c r="R231" s="104">
        <f t="shared" si="210"/>
        <v>115000</v>
      </c>
      <c r="S231" s="104">
        <f t="shared" ref="S231:U233" si="254">S232</f>
        <v>0</v>
      </c>
      <c r="T231" s="104">
        <f t="shared" si="254"/>
        <v>0</v>
      </c>
      <c r="U231" s="104">
        <f t="shared" si="254"/>
        <v>0</v>
      </c>
      <c r="V231" s="104">
        <f t="shared" si="223"/>
        <v>115000</v>
      </c>
      <c r="W231" s="104">
        <f t="shared" si="224"/>
        <v>115000</v>
      </c>
      <c r="X231" s="104">
        <f t="shared" si="225"/>
        <v>115000</v>
      </c>
    </row>
    <row r="232" spans="1:24" s="85" customFormat="1">
      <c r="A232" s="2" t="s">
        <v>88</v>
      </c>
      <c r="B232" s="65" t="s">
        <v>41</v>
      </c>
      <c r="C232" s="1" t="s">
        <v>2</v>
      </c>
      <c r="D232" s="1" t="s">
        <v>17</v>
      </c>
      <c r="E232" s="1" t="s">
        <v>20</v>
      </c>
      <c r="F232" s="1" t="s">
        <v>114</v>
      </c>
      <c r="G232" s="1" t="s">
        <v>148</v>
      </c>
      <c r="H232" s="1" t="s">
        <v>162</v>
      </c>
      <c r="I232" s="13"/>
      <c r="J232" s="104">
        <f t="shared" si="253"/>
        <v>115000</v>
      </c>
      <c r="K232" s="104">
        <f t="shared" si="253"/>
        <v>115000</v>
      </c>
      <c r="L232" s="104">
        <f t="shared" si="253"/>
        <v>115000</v>
      </c>
      <c r="M232" s="104">
        <f t="shared" si="253"/>
        <v>0</v>
      </c>
      <c r="N232" s="104">
        <f t="shared" si="253"/>
        <v>0</v>
      </c>
      <c r="O232" s="104">
        <f t="shared" si="253"/>
        <v>0</v>
      </c>
      <c r="P232" s="104">
        <f t="shared" si="208"/>
        <v>115000</v>
      </c>
      <c r="Q232" s="104">
        <f t="shared" si="209"/>
        <v>115000</v>
      </c>
      <c r="R232" s="104">
        <f t="shared" si="210"/>
        <v>115000</v>
      </c>
      <c r="S232" s="104">
        <f t="shared" si="254"/>
        <v>0</v>
      </c>
      <c r="T232" s="104">
        <f t="shared" si="254"/>
        <v>0</v>
      </c>
      <c r="U232" s="104">
        <f t="shared" si="254"/>
        <v>0</v>
      </c>
      <c r="V232" s="104">
        <f t="shared" si="223"/>
        <v>115000</v>
      </c>
      <c r="W232" s="104">
        <f t="shared" si="224"/>
        <v>115000</v>
      </c>
      <c r="X232" s="104">
        <f t="shared" si="225"/>
        <v>115000</v>
      </c>
    </row>
    <row r="233" spans="1:24" s="85" customFormat="1" ht="25.5">
      <c r="A233" s="7" t="s">
        <v>72</v>
      </c>
      <c r="B233" s="65" t="s">
        <v>41</v>
      </c>
      <c r="C233" s="1" t="s">
        <v>2</v>
      </c>
      <c r="D233" s="1" t="s">
        <v>17</v>
      </c>
      <c r="E233" s="1" t="s">
        <v>20</v>
      </c>
      <c r="F233" s="1" t="s">
        <v>114</v>
      </c>
      <c r="G233" s="1" t="s">
        <v>148</v>
      </c>
      <c r="H233" s="1" t="s">
        <v>162</v>
      </c>
      <c r="I233" s="13" t="s">
        <v>71</v>
      </c>
      <c r="J233" s="104">
        <f t="shared" si="253"/>
        <v>115000</v>
      </c>
      <c r="K233" s="104">
        <f t="shared" si="253"/>
        <v>115000</v>
      </c>
      <c r="L233" s="104">
        <f t="shared" si="253"/>
        <v>115000</v>
      </c>
      <c r="M233" s="104">
        <f t="shared" si="253"/>
        <v>0</v>
      </c>
      <c r="N233" s="104">
        <f t="shared" si="253"/>
        <v>0</v>
      </c>
      <c r="O233" s="104">
        <f t="shared" si="253"/>
        <v>0</v>
      </c>
      <c r="P233" s="104">
        <f t="shared" si="208"/>
        <v>115000</v>
      </c>
      <c r="Q233" s="104">
        <f t="shared" si="209"/>
        <v>115000</v>
      </c>
      <c r="R233" s="104">
        <f t="shared" si="210"/>
        <v>115000</v>
      </c>
      <c r="S233" s="104">
        <f t="shared" si="254"/>
        <v>0</v>
      </c>
      <c r="T233" s="104">
        <f t="shared" si="254"/>
        <v>0</v>
      </c>
      <c r="U233" s="104">
        <f t="shared" si="254"/>
        <v>0</v>
      </c>
      <c r="V233" s="104">
        <f t="shared" si="223"/>
        <v>115000</v>
      </c>
      <c r="W233" s="104">
        <f t="shared" si="224"/>
        <v>115000</v>
      </c>
      <c r="X233" s="104">
        <f t="shared" si="225"/>
        <v>115000</v>
      </c>
    </row>
    <row r="234" spans="1:24">
      <c r="A234" s="11" t="s">
        <v>75</v>
      </c>
      <c r="B234" s="65" t="s">
        <v>41</v>
      </c>
      <c r="C234" s="1" t="s">
        <v>2</v>
      </c>
      <c r="D234" s="1" t="s">
        <v>17</v>
      </c>
      <c r="E234" s="1" t="s">
        <v>20</v>
      </c>
      <c r="F234" s="1" t="s">
        <v>114</v>
      </c>
      <c r="G234" s="1" t="s">
        <v>148</v>
      </c>
      <c r="H234" s="1" t="s">
        <v>162</v>
      </c>
      <c r="I234" s="13" t="s">
        <v>74</v>
      </c>
      <c r="J234" s="104">
        <v>115000</v>
      </c>
      <c r="K234" s="104">
        <v>115000</v>
      </c>
      <c r="L234" s="104">
        <v>115000</v>
      </c>
      <c r="M234" s="104"/>
      <c r="N234" s="104"/>
      <c r="O234" s="104"/>
      <c r="P234" s="104">
        <f t="shared" si="208"/>
        <v>115000</v>
      </c>
      <c r="Q234" s="104">
        <f t="shared" si="209"/>
        <v>115000</v>
      </c>
      <c r="R234" s="104">
        <f t="shared" si="210"/>
        <v>115000</v>
      </c>
      <c r="S234" s="104"/>
      <c r="T234" s="104"/>
      <c r="U234" s="104"/>
      <c r="V234" s="104">
        <f t="shared" si="223"/>
        <v>115000</v>
      </c>
      <c r="W234" s="104">
        <f t="shared" si="224"/>
        <v>115000</v>
      </c>
      <c r="X234" s="104">
        <f t="shared" si="225"/>
        <v>115000</v>
      </c>
    </row>
    <row r="235" spans="1:24">
      <c r="A235" s="7"/>
      <c r="B235" s="48"/>
      <c r="C235" s="1"/>
      <c r="D235" s="1"/>
      <c r="E235" s="1"/>
      <c r="F235" s="1"/>
      <c r="G235" s="1"/>
      <c r="H235" s="1"/>
      <c r="I235" s="13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</row>
    <row r="236" spans="1:24">
      <c r="A236" s="18" t="s">
        <v>203</v>
      </c>
      <c r="B236" s="115" t="s">
        <v>41</v>
      </c>
      <c r="C236" s="15" t="s">
        <v>2</v>
      </c>
      <c r="D236" s="15" t="s">
        <v>13</v>
      </c>
      <c r="E236" s="15"/>
      <c r="F236" s="15"/>
      <c r="G236" s="15"/>
      <c r="H236" s="15"/>
      <c r="I236" s="26"/>
      <c r="J236" s="101">
        <f>J237+J265</f>
        <v>25554433</v>
      </c>
      <c r="K236" s="101">
        <f t="shared" ref="K236:L236" si="255">K237+K265</f>
        <v>20437881.77</v>
      </c>
      <c r="L236" s="101">
        <f t="shared" si="255"/>
        <v>20896508.880000003</v>
      </c>
      <c r="M236" s="101">
        <f t="shared" ref="M236:O236" si="256">M237+M265</f>
        <v>0</v>
      </c>
      <c r="N236" s="101">
        <f t="shared" si="256"/>
        <v>0</v>
      </c>
      <c r="O236" s="101">
        <f t="shared" si="256"/>
        <v>0</v>
      </c>
      <c r="P236" s="101">
        <f t="shared" si="208"/>
        <v>25554433</v>
      </c>
      <c r="Q236" s="101">
        <f t="shared" si="209"/>
        <v>20437881.77</v>
      </c>
      <c r="R236" s="101">
        <f t="shared" si="210"/>
        <v>20896508.880000003</v>
      </c>
      <c r="S236" s="101">
        <f t="shared" ref="S236:U236" si="257">S237+S265</f>
        <v>200000</v>
      </c>
      <c r="T236" s="101">
        <f t="shared" si="257"/>
        <v>0</v>
      </c>
      <c r="U236" s="101">
        <f t="shared" si="257"/>
        <v>0</v>
      </c>
      <c r="V236" s="101">
        <f t="shared" ref="V236:V268" si="258">P236+S236</f>
        <v>25754433</v>
      </c>
      <c r="W236" s="101">
        <f t="shared" ref="W236:W268" si="259">Q236+T236</f>
        <v>20437881.77</v>
      </c>
      <c r="X236" s="101">
        <f t="shared" ref="X236:X268" si="260">R236+U236</f>
        <v>20896508.880000003</v>
      </c>
    </row>
    <row r="237" spans="1:24" s="85" customFormat="1" ht="25.5">
      <c r="A237" s="2" t="s">
        <v>285</v>
      </c>
      <c r="B237" s="65" t="s">
        <v>41</v>
      </c>
      <c r="C237" s="1" t="s">
        <v>2</v>
      </c>
      <c r="D237" s="1" t="s">
        <v>13</v>
      </c>
      <c r="E237" s="59" t="s">
        <v>20</v>
      </c>
      <c r="F237" s="59" t="s">
        <v>70</v>
      </c>
      <c r="G237" s="59" t="s">
        <v>148</v>
      </c>
      <c r="H237" s="59" t="s">
        <v>149</v>
      </c>
      <c r="I237" s="116"/>
      <c r="J237" s="81">
        <f>J238+J261</f>
        <v>20554433</v>
      </c>
      <c r="K237" s="81">
        <f t="shared" ref="K237:L237" si="261">K238+K261</f>
        <v>20437881.77</v>
      </c>
      <c r="L237" s="81">
        <f t="shared" si="261"/>
        <v>20896508.880000003</v>
      </c>
      <c r="M237" s="81">
        <f t="shared" ref="M237:O237" si="262">M238+M261</f>
        <v>0</v>
      </c>
      <c r="N237" s="81">
        <f t="shared" si="262"/>
        <v>0</v>
      </c>
      <c r="O237" s="81">
        <f t="shared" si="262"/>
        <v>0</v>
      </c>
      <c r="P237" s="81">
        <f t="shared" si="208"/>
        <v>20554433</v>
      </c>
      <c r="Q237" s="81">
        <f t="shared" si="209"/>
        <v>20437881.77</v>
      </c>
      <c r="R237" s="81">
        <f t="shared" si="210"/>
        <v>20896508.880000003</v>
      </c>
      <c r="S237" s="81">
        <f t="shared" ref="S237:U237" si="263">S238+S261</f>
        <v>200000</v>
      </c>
      <c r="T237" s="81">
        <f t="shared" si="263"/>
        <v>0</v>
      </c>
      <c r="U237" s="81">
        <f t="shared" si="263"/>
        <v>0</v>
      </c>
      <c r="V237" s="81">
        <f t="shared" si="258"/>
        <v>20754433</v>
      </c>
      <c r="W237" s="81">
        <f t="shared" si="259"/>
        <v>20437881.77</v>
      </c>
      <c r="X237" s="81">
        <f t="shared" si="260"/>
        <v>20896508.880000003</v>
      </c>
    </row>
    <row r="238" spans="1:24" s="85" customFormat="1" ht="25.5">
      <c r="A238" s="2" t="s">
        <v>144</v>
      </c>
      <c r="B238" s="65" t="s">
        <v>41</v>
      </c>
      <c r="C238" s="1" t="s">
        <v>2</v>
      </c>
      <c r="D238" s="1" t="s">
        <v>13</v>
      </c>
      <c r="E238" s="1" t="s">
        <v>20</v>
      </c>
      <c r="F238" s="1" t="s">
        <v>113</v>
      </c>
      <c r="G238" s="1" t="s">
        <v>148</v>
      </c>
      <c r="H238" s="1" t="s">
        <v>149</v>
      </c>
      <c r="I238" s="13"/>
      <c r="J238" s="104">
        <f>+J246+J252+J255+J258+J239</f>
        <v>20254433</v>
      </c>
      <c r="K238" s="104">
        <f t="shared" ref="K238:L238" si="264">+K246+K252+K255+K258+K239</f>
        <v>20137881.77</v>
      </c>
      <c r="L238" s="104">
        <f t="shared" si="264"/>
        <v>20596508.880000003</v>
      </c>
      <c r="M238" s="104">
        <f t="shared" ref="M238:O238" si="265">+M246+M252+M255+M258+M239</f>
        <v>0</v>
      </c>
      <c r="N238" s="104">
        <f t="shared" si="265"/>
        <v>0</v>
      </c>
      <c r="O238" s="104">
        <f t="shared" si="265"/>
        <v>0</v>
      </c>
      <c r="P238" s="104">
        <f t="shared" si="208"/>
        <v>20254433</v>
      </c>
      <c r="Q238" s="104">
        <f t="shared" si="209"/>
        <v>20137881.77</v>
      </c>
      <c r="R238" s="104">
        <f t="shared" si="210"/>
        <v>20596508.880000003</v>
      </c>
      <c r="S238" s="104">
        <f>+S246+S252+S255+S258+S239+S249</f>
        <v>200000</v>
      </c>
      <c r="T238" s="104">
        <f t="shared" ref="T238:U238" si="266">+T246+T252+T255+T258+T239+T249</f>
        <v>0</v>
      </c>
      <c r="U238" s="104">
        <f t="shared" si="266"/>
        <v>0</v>
      </c>
      <c r="V238" s="104">
        <f t="shared" si="258"/>
        <v>20454433</v>
      </c>
      <c r="W238" s="104">
        <f t="shared" si="259"/>
        <v>20137881.77</v>
      </c>
      <c r="X238" s="104">
        <f t="shared" si="260"/>
        <v>20596508.880000003</v>
      </c>
    </row>
    <row r="239" spans="1:24" s="85" customFormat="1" ht="25.5">
      <c r="A239" s="2" t="s">
        <v>248</v>
      </c>
      <c r="B239" s="65" t="s">
        <v>41</v>
      </c>
      <c r="C239" s="1" t="s">
        <v>2</v>
      </c>
      <c r="D239" s="1" t="s">
        <v>13</v>
      </c>
      <c r="E239" s="1" t="s">
        <v>20</v>
      </c>
      <c r="F239" s="1" t="s">
        <v>113</v>
      </c>
      <c r="G239" s="1" t="s">
        <v>148</v>
      </c>
      <c r="H239" s="1" t="s">
        <v>245</v>
      </c>
      <c r="I239" s="13"/>
      <c r="J239" s="104">
        <f>J240+J244</f>
        <v>6550200</v>
      </c>
      <c r="K239" s="104">
        <f t="shared" ref="K239:L239" si="267">K240+K244</f>
        <v>6609480</v>
      </c>
      <c r="L239" s="104">
        <f t="shared" si="267"/>
        <v>6637350</v>
      </c>
      <c r="M239" s="104">
        <f t="shared" ref="M239:O239" si="268">M240+M244</f>
        <v>0</v>
      </c>
      <c r="N239" s="104">
        <f t="shared" si="268"/>
        <v>0</v>
      </c>
      <c r="O239" s="104">
        <f t="shared" si="268"/>
        <v>0</v>
      </c>
      <c r="P239" s="104">
        <f t="shared" si="208"/>
        <v>6550200</v>
      </c>
      <c r="Q239" s="104">
        <f t="shared" si="209"/>
        <v>6609480</v>
      </c>
      <c r="R239" s="104">
        <f t="shared" si="210"/>
        <v>6637350</v>
      </c>
      <c r="S239" s="104">
        <f t="shared" ref="S239:U239" si="269">S240+S244</f>
        <v>0</v>
      </c>
      <c r="T239" s="104">
        <f t="shared" si="269"/>
        <v>0</v>
      </c>
      <c r="U239" s="104">
        <f t="shared" si="269"/>
        <v>0</v>
      </c>
      <c r="V239" s="104">
        <f t="shared" si="258"/>
        <v>6550200</v>
      </c>
      <c r="W239" s="104">
        <f t="shared" si="259"/>
        <v>6609480</v>
      </c>
      <c r="X239" s="104">
        <f t="shared" si="260"/>
        <v>6637350</v>
      </c>
    </row>
    <row r="240" spans="1:24" s="85" customFormat="1" ht="25.5">
      <c r="A240" s="7" t="s">
        <v>72</v>
      </c>
      <c r="B240" s="65" t="s">
        <v>41</v>
      </c>
      <c r="C240" s="1" t="s">
        <v>2</v>
      </c>
      <c r="D240" s="1" t="s">
        <v>13</v>
      </c>
      <c r="E240" s="1" t="s">
        <v>20</v>
      </c>
      <c r="F240" s="1" t="s">
        <v>113</v>
      </c>
      <c r="G240" s="1" t="s">
        <v>148</v>
      </c>
      <c r="H240" s="1" t="s">
        <v>245</v>
      </c>
      <c r="I240" s="13" t="s">
        <v>71</v>
      </c>
      <c r="J240" s="104">
        <f>J241+J242+J243</f>
        <v>6496537.6799999997</v>
      </c>
      <c r="K240" s="104">
        <f t="shared" ref="K240:L240" si="270">K241+K242+K243</f>
        <v>6555533</v>
      </c>
      <c r="L240" s="104">
        <f t="shared" si="270"/>
        <v>6583243</v>
      </c>
      <c r="M240" s="104">
        <f t="shared" ref="M240:O240" si="271">M241+M242+M243</f>
        <v>0</v>
      </c>
      <c r="N240" s="104">
        <f t="shared" si="271"/>
        <v>0</v>
      </c>
      <c r="O240" s="104">
        <f t="shared" si="271"/>
        <v>0</v>
      </c>
      <c r="P240" s="104">
        <f t="shared" si="208"/>
        <v>6496537.6799999997</v>
      </c>
      <c r="Q240" s="104">
        <f t="shared" si="209"/>
        <v>6555533</v>
      </c>
      <c r="R240" s="104">
        <f t="shared" si="210"/>
        <v>6583243</v>
      </c>
      <c r="S240" s="104">
        <f t="shared" ref="S240:U240" si="272">S241+S242+S243</f>
        <v>0</v>
      </c>
      <c r="T240" s="104">
        <f t="shared" si="272"/>
        <v>0</v>
      </c>
      <c r="U240" s="104">
        <f t="shared" si="272"/>
        <v>0</v>
      </c>
      <c r="V240" s="104">
        <f t="shared" si="258"/>
        <v>6496537.6799999997</v>
      </c>
      <c r="W240" s="104">
        <f t="shared" si="259"/>
        <v>6555533</v>
      </c>
      <c r="X240" s="104">
        <f t="shared" si="260"/>
        <v>6583243</v>
      </c>
    </row>
    <row r="241" spans="1:24" s="85" customFormat="1">
      <c r="A241" s="11" t="s">
        <v>75</v>
      </c>
      <c r="B241" s="65" t="s">
        <v>41</v>
      </c>
      <c r="C241" s="1" t="s">
        <v>2</v>
      </c>
      <c r="D241" s="1" t="s">
        <v>13</v>
      </c>
      <c r="E241" s="1" t="s">
        <v>20</v>
      </c>
      <c r="F241" s="1" t="s">
        <v>113</v>
      </c>
      <c r="G241" s="1" t="s">
        <v>148</v>
      </c>
      <c r="H241" s="1" t="s">
        <v>245</v>
      </c>
      <c r="I241" s="13" t="s">
        <v>74</v>
      </c>
      <c r="J241" s="104">
        <f>6336337.68+53400</f>
        <v>6389737.6799999997</v>
      </c>
      <c r="K241" s="104">
        <v>6447633</v>
      </c>
      <c r="L241" s="104">
        <v>6474843</v>
      </c>
      <c r="M241" s="104"/>
      <c r="N241" s="104"/>
      <c r="O241" s="104"/>
      <c r="P241" s="104">
        <f t="shared" si="208"/>
        <v>6389737.6799999997</v>
      </c>
      <c r="Q241" s="104">
        <f t="shared" si="209"/>
        <v>6447633</v>
      </c>
      <c r="R241" s="104">
        <f t="shared" si="210"/>
        <v>6474843</v>
      </c>
      <c r="S241" s="104"/>
      <c r="T241" s="104"/>
      <c r="U241" s="104"/>
      <c r="V241" s="104">
        <f t="shared" si="258"/>
        <v>6389737.6799999997</v>
      </c>
      <c r="W241" s="104">
        <f t="shared" si="259"/>
        <v>6447633</v>
      </c>
      <c r="X241" s="104">
        <f t="shared" si="260"/>
        <v>6474843</v>
      </c>
    </row>
    <row r="242" spans="1:24" s="85" customFormat="1">
      <c r="A242" s="2" t="s">
        <v>249</v>
      </c>
      <c r="B242" s="65" t="s">
        <v>41</v>
      </c>
      <c r="C242" s="1" t="s">
        <v>2</v>
      </c>
      <c r="D242" s="1" t="s">
        <v>13</v>
      </c>
      <c r="E242" s="1" t="s">
        <v>20</v>
      </c>
      <c r="F242" s="1" t="s">
        <v>113</v>
      </c>
      <c r="G242" s="1" t="s">
        <v>148</v>
      </c>
      <c r="H242" s="1" t="s">
        <v>245</v>
      </c>
      <c r="I242" s="13" t="s">
        <v>246</v>
      </c>
      <c r="J242" s="104">
        <v>53400</v>
      </c>
      <c r="K242" s="104">
        <v>53950</v>
      </c>
      <c r="L242" s="104">
        <v>54200</v>
      </c>
      <c r="M242" s="104"/>
      <c r="N242" s="104"/>
      <c r="O242" s="104"/>
      <c r="P242" s="104">
        <f t="shared" si="208"/>
        <v>53400</v>
      </c>
      <c r="Q242" s="104">
        <f t="shared" si="209"/>
        <v>53950</v>
      </c>
      <c r="R242" s="104">
        <f t="shared" si="210"/>
        <v>54200</v>
      </c>
      <c r="S242" s="104"/>
      <c r="T242" s="104"/>
      <c r="U242" s="104"/>
      <c r="V242" s="104">
        <f t="shared" si="258"/>
        <v>53400</v>
      </c>
      <c r="W242" s="104">
        <f t="shared" si="259"/>
        <v>53950</v>
      </c>
      <c r="X242" s="104">
        <f t="shared" si="260"/>
        <v>54200</v>
      </c>
    </row>
    <row r="243" spans="1:24" s="85" customFormat="1" ht="25.5">
      <c r="A243" s="2" t="s">
        <v>250</v>
      </c>
      <c r="B243" s="65" t="s">
        <v>41</v>
      </c>
      <c r="C243" s="1" t="s">
        <v>2</v>
      </c>
      <c r="D243" s="1" t="s">
        <v>13</v>
      </c>
      <c r="E243" s="1" t="s">
        <v>20</v>
      </c>
      <c r="F243" s="1" t="s">
        <v>113</v>
      </c>
      <c r="G243" s="1" t="s">
        <v>148</v>
      </c>
      <c r="H243" s="1" t="s">
        <v>245</v>
      </c>
      <c r="I243" s="13" t="s">
        <v>247</v>
      </c>
      <c r="J243" s="104">
        <v>53400</v>
      </c>
      <c r="K243" s="104">
        <v>53950</v>
      </c>
      <c r="L243" s="104">
        <v>54200</v>
      </c>
      <c r="M243" s="104"/>
      <c r="N243" s="104"/>
      <c r="O243" s="104"/>
      <c r="P243" s="104">
        <f t="shared" si="208"/>
        <v>53400</v>
      </c>
      <c r="Q243" s="104">
        <f t="shared" si="209"/>
        <v>53950</v>
      </c>
      <c r="R243" s="104">
        <f t="shared" si="210"/>
        <v>54200</v>
      </c>
      <c r="S243" s="104"/>
      <c r="T243" s="104"/>
      <c r="U243" s="104"/>
      <c r="V243" s="104">
        <f t="shared" si="258"/>
        <v>53400</v>
      </c>
      <c r="W243" s="104">
        <f t="shared" si="259"/>
        <v>53950</v>
      </c>
      <c r="X243" s="104">
        <f t="shared" si="260"/>
        <v>54200</v>
      </c>
    </row>
    <row r="244" spans="1:24" s="85" customFormat="1">
      <c r="A244" s="2" t="s">
        <v>80</v>
      </c>
      <c r="B244" s="65" t="s">
        <v>41</v>
      </c>
      <c r="C244" s="1" t="s">
        <v>2</v>
      </c>
      <c r="D244" s="1" t="s">
        <v>13</v>
      </c>
      <c r="E244" s="1" t="s">
        <v>20</v>
      </c>
      <c r="F244" s="1" t="s">
        <v>113</v>
      </c>
      <c r="G244" s="1" t="s">
        <v>148</v>
      </c>
      <c r="H244" s="1" t="s">
        <v>245</v>
      </c>
      <c r="I244" s="13" t="s">
        <v>77</v>
      </c>
      <c r="J244" s="104">
        <f>J245</f>
        <v>53662.32</v>
      </c>
      <c r="K244" s="104">
        <f t="shared" ref="K244:O244" si="273">K245</f>
        <v>53947</v>
      </c>
      <c r="L244" s="104">
        <f t="shared" si="273"/>
        <v>54107</v>
      </c>
      <c r="M244" s="104">
        <f t="shared" si="273"/>
        <v>0</v>
      </c>
      <c r="N244" s="104">
        <f t="shared" si="273"/>
        <v>0</v>
      </c>
      <c r="O244" s="104">
        <f t="shared" si="273"/>
        <v>0</v>
      </c>
      <c r="P244" s="104">
        <f t="shared" si="208"/>
        <v>53662.32</v>
      </c>
      <c r="Q244" s="104">
        <f t="shared" si="209"/>
        <v>53947</v>
      </c>
      <c r="R244" s="104">
        <f t="shared" si="210"/>
        <v>54107</v>
      </c>
      <c r="S244" s="104">
        <f t="shared" ref="S244:U244" si="274">S245</f>
        <v>0</v>
      </c>
      <c r="T244" s="104">
        <f t="shared" si="274"/>
        <v>0</v>
      </c>
      <c r="U244" s="104">
        <f t="shared" si="274"/>
        <v>0</v>
      </c>
      <c r="V244" s="104">
        <f t="shared" si="258"/>
        <v>53662.32</v>
      </c>
      <c r="W244" s="104">
        <f t="shared" si="259"/>
        <v>53947</v>
      </c>
      <c r="X244" s="104">
        <f t="shared" si="260"/>
        <v>54107</v>
      </c>
    </row>
    <row r="245" spans="1:24" s="85" customFormat="1" ht="38.25">
      <c r="A245" s="2" t="s">
        <v>251</v>
      </c>
      <c r="B245" s="65" t="s">
        <v>41</v>
      </c>
      <c r="C245" s="1" t="s">
        <v>2</v>
      </c>
      <c r="D245" s="1" t="s">
        <v>13</v>
      </c>
      <c r="E245" s="1" t="s">
        <v>20</v>
      </c>
      <c r="F245" s="1" t="s">
        <v>113</v>
      </c>
      <c r="G245" s="1" t="s">
        <v>148</v>
      </c>
      <c r="H245" s="1" t="s">
        <v>245</v>
      </c>
      <c r="I245" s="13" t="s">
        <v>78</v>
      </c>
      <c r="J245" s="104">
        <v>53662.32</v>
      </c>
      <c r="K245" s="104">
        <v>53947</v>
      </c>
      <c r="L245" s="104">
        <v>54107</v>
      </c>
      <c r="M245" s="104"/>
      <c r="N245" s="104"/>
      <c r="O245" s="104"/>
      <c r="P245" s="104">
        <f t="shared" si="208"/>
        <v>53662.32</v>
      </c>
      <c r="Q245" s="104">
        <f t="shared" si="209"/>
        <v>53947</v>
      </c>
      <c r="R245" s="104">
        <f t="shared" si="210"/>
        <v>54107</v>
      </c>
      <c r="S245" s="104"/>
      <c r="T245" s="104"/>
      <c r="U245" s="104"/>
      <c r="V245" s="104">
        <f t="shared" si="258"/>
        <v>53662.32</v>
      </c>
      <c r="W245" s="104">
        <f t="shared" si="259"/>
        <v>53947</v>
      </c>
      <c r="X245" s="104">
        <f t="shared" si="260"/>
        <v>54107</v>
      </c>
    </row>
    <row r="246" spans="1:24" s="85" customFormat="1" ht="25.5">
      <c r="A246" s="2" t="s">
        <v>145</v>
      </c>
      <c r="B246" s="65" t="s">
        <v>41</v>
      </c>
      <c r="C246" s="1" t="s">
        <v>2</v>
      </c>
      <c r="D246" s="1" t="s">
        <v>13</v>
      </c>
      <c r="E246" s="1" t="s">
        <v>20</v>
      </c>
      <c r="F246" s="1" t="s">
        <v>113</v>
      </c>
      <c r="G246" s="1" t="s">
        <v>148</v>
      </c>
      <c r="H246" s="1" t="s">
        <v>164</v>
      </c>
      <c r="I246" s="13"/>
      <c r="J246" s="104">
        <f>J247</f>
        <v>6526818</v>
      </c>
      <c r="K246" s="104">
        <f t="shared" ref="K246:O247" si="275">K247</f>
        <v>6662498.7699999996</v>
      </c>
      <c r="L246" s="104">
        <f t="shared" si="275"/>
        <v>6834240.8800000008</v>
      </c>
      <c r="M246" s="104">
        <f t="shared" si="275"/>
        <v>0</v>
      </c>
      <c r="N246" s="104">
        <f t="shared" si="275"/>
        <v>0</v>
      </c>
      <c r="O246" s="104">
        <f t="shared" si="275"/>
        <v>0</v>
      </c>
      <c r="P246" s="104">
        <f t="shared" si="208"/>
        <v>6526818</v>
      </c>
      <c r="Q246" s="104">
        <f t="shared" si="209"/>
        <v>6662498.7699999996</v>
      </c>
      <c r="R246" s="104">
        <f t="shared" si="210"/>
        <v>6834240.8800000008</v>
      </c>
      <c r="S246" s="104">
        <f t="shared" ref="S246:U247" si="276">S247</f>
        <v>0</v>
      </c>
      <c r="T246" s="104">
        <f t="shared" si="276"/>
        <v>0</v>
      </c>
      <c r="U246" s="104">
        <f t="shared" si="276"/>
        <v>0</v>
      </c>
      <c r="V246" s="104">
        <f t="shared" si="258"/>
        <v>6526818</v>
      </c>
      <c r="W246" s="104">
        <f t="shared" si="259"/>
        <v>6662498.7699999996</v>
      </c>
      <c r="X246" s="104">
        <f t="shared" si="260"/>
        <v>6834240.8800000008</v>
      </c>
    </row>
    <row r="247" spans="1:24" s="85" customFormat="1" ht="25.5">
      <c r="A247" s="7" t="s">
        <v>72</v>
      </c>
      <c r="B247" s="65" t="s">
        <v>41</v>
      </c>
      <c r="C247" s="1" t="s">
        <v>2</v>
      </c>
      <c r="D247" s="1" t="s">
        <v>13</v>
      </c>
      <c r="E247" s="1" t="s">
        <v>20</v>
      </c>
      <c r="F247" s="1" t="s">
        <v>113</v>
      </c>
      <c r="G247" s="1" t="s">
        <v>148</v>
      </c>
      <c r="H247" s="1" t="s">
        <v>164</v>
      </c>
      <c r="I247" s="13" t="s">
        <v>71</v>
      </c>
      <c r="J247" s="104">
        <f>J248</f>
        <v>6526818</v>
      </c>
      <c r="K247" s="104">
        <f t="shared" si="275"/>
        <v>6662498.7699999996</v>
      </c>
      <c r="L247" s="104">
        <f t="shared" si="275"/>
        <v>6834240.8800000008</v>
      </c>
      <c r="M247" s="104">
        <f t="shared" si="275"/>
        <v>0</v>
      </c>
      <c r="N247" s="104">
        <f t="shared" si="275"/>
        <v>0</v>
      </c>
      <c r="O247" s="104">
        <f t="shared" si="275"/>
        <v>0</v>
      </c>
      <c r="P247" s="104">
        <f t="shared" si="208"/>
        <v>6526818</v>
      </c>
      <c r="Q247" s="104">
        <f t="shared" si="209"/>
        <v>6662498.7699999996</v>
      </c>
      <c r="R247" s="104">
        <f t="shared" si="210"/>
        <v>6834240.8800000008</v>
      </c>
      <c r="S247" s="104">
        <f t="shared" si="276"/>
        <v>0</v>
      </c>
      <c r="T247" s="104">
        <f t="shared" si="276"/>
        <v>0</v>
      </c>
      <c r="U247" s="104">
        <f t="shared" si="276"/>
        <v>0</v>
      </c>
      <c r="V247" s="104">
        <f t="shared" si="258"/>
        <v>6526818</v>
      </c>
      <c r="W247" s="104">
        <f t="shared" si="259"/>
        <v>6662498.7699999996</v>
      </c>
      <c r="X247" s="104">
        <f t="shared" si="260"/>
        <v>6834240.8800000008</v>
      </c>
    </row>
    <row r="248" spans="1:24">
      <c r="A248" s="11" t="s">
        <v>75</v>
      </c>
      <c r="B248" s="65" t="s">
        <v>41</v>
      </c>
      <c r="C248" s="1" t="s">
        <v>2</v>
      </c>
      <c r="D248" s="1" t="s">
        <v>13</v>
      </c>
      <c r="E248" s="1" t="s">
        <v>20</v>
      </c>
      <c r="F248" s="1" t="s">
        <v>113</v>
      </c>
      <c r="G248" s="1" t="s">
        <v>148</v>
      </c>
      <c r="H248" s="1" t="s">
        <v>164</v>
      </c>
      <c r="I248" s="13" t="s">
        <v>74</v>
      </c>
      <c r="J248" s="104">
        <f>12912018-6550200+165000</f>
        <v>6526818</v>
      </c>
      <c r="K248" s="104">
        <f>13106978.77-6609480+165000</f>
        <v>6662498.7699999996</v>
      </c>
      <c r="L248" s="104">
        <f>13306590.88-6637350+165000</f>
        <v>6834240.8800000008</v>
      </c>
      <c r="M248" s="104"/>
      <c r="N248" s="104"/>
      <c r="O248" s="104"/>
      <c r="P248" s="104">
        <f t="shared" si="208"/>
        <v>6526818</v>
      </c>
      <c r="Q248" s="104">
        <f t="shared" si="209"/>
        <v>6662498.7699999996</v>
      </c>
      <c r="R248" s="104">
        <f t="shared" si="210"/>
        <v>6834240.8800000008</v>
      </c>
      <c r="S248" s="104"/>
      <c r="T248" s="104"/>
      <c r="U248" s="104"/>
      <c r="V248" s="104">
        <f t="shared" si="258"/>
        <v>6526818</v>
      </c>
      <c r="W248" s="104">
        <f t="shared" si="259"/>
        <v>6662498.7699999996</v>
      </c>
      <c r="X248" s="104">
        <f t="shared" si="260"/>
        <v>6834240.8800000008</v>
      </c>
    </row>
    <row r="249" spans="1:24">
      <c r="A249" s="11" t="s">
        <v>240</v>
      </c>
      <c r="B249" s="65" t="s">
        <v>41</v>
      </c>
      <c r="C249" s="1" t="s">
        <v>2</v>
      </c>
      <c r="D249" s="1" t="s">
        <v>13</v>
      </c>
      <c r="E249" s="1" t="s">
        <v>20</v>
      </c>
      <c r="F249" s="1" t="s">
        <v>113</v>
      </c>
      <c r="G249" s="1" t="s">
        <v>148</v>
      </c>
      <c r="H249" s="1" t="s">
        <v>241</v>
      </c>
      <c r="I249" s="13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>
        <f>S250</f>
        <v>200000</v>
      </c>
      <c r="T249" s="104">
        <f t="shared" ref="T249:U250" si="277">T250</f>
        <v>0</v>
      </c>
      <c r="U249" s="104">
        <f t="shared" si="277"/>
        <v>0</v>
      </c>
      <c r="V249" s="104">
        <f t="shared" ref="V249:V251" si="278">P249+S249</f>
        <v>200000</v>
      </c>
      <c r="W249" s="104">
        <f t="shared" ref="W249:W251" si="279">Q249+T249</f>
        <v>0</v>
      </c>
      <c r="X249" s="104">
        <f t="shared" ref="X249:X251" si="280">R249+U249</f>
        <v>0</v>
      </c>
    </row>
    <row r="250" spans="1:24" ht="25.5">
      <c r="A250" s="7" t="s">
        <v>72</v>
      </c>
      <c r="B250" s="65" t="s">
        <v>41</v>
      </c>
      <c r="C250" s="1" t="s">
        <v>2</v>
      </c>
      <c r="D250" s="1" t="s">
        <v>13</v>
      </c>
      <c r="E250" s="1" t="s">
        <v>20</v>
      </c>
      <c r="F250" s="1" t="s">
        <v>113</v>
      </c>
      <c r="G250" s="1" t="s">
        <v>148</v>
      </c>
      <c r="H250" s="1" t="s">
        <v>241</v>
      </c>
      <c r="I250" s="13" t="s">
        <v>71</v>
      </c>
      <c r="J250" s="104"/>
      <c r="K250" s="104"/>
      <c r="L250" s="104"/>
      <c r="M250" s="104"/>
      <c r="N250" s="104"/>
      <c r="O250" s="104"/>
      <c r="P250" s="104"/>
      <c r="Q250" s="104"/>
      <c r="R250" s="104"/>
      <c r="S250" s="104">
        <f>S251</f>
        <v>200000</v>
      </c>
      <c r="T250" s="104">
        <f t="shared" si="277"/>
        <v>0</v>
      </c>
      <c r="U250" s="104">
        <f t="shared" si="277"/>
        <v>0</v>
      </c>
      <c r="V250" s="104">
        <f t="shared" si="278"/>
        <v>200000</v>
      </c>
      <c r="W250" s="104">
        <f t="shared" si="279"/>
        <v>0</v>
      </c>
      <c r="X250" s="104">
        <f t="shared" si="280"/>
        <v>0</v>
      </c>
    </row>
    <row r="251" spans="1:24">
      <c r="A251" s="11" t="s">
        <v>75</v>
      </c>
      <c r="B251" s="65" t="s">
        <v>41</v>
      </c>
      <c r="C251" s="1" t="s">
        <v>2</v>
      </c>
      <c r="D251" s="1" t="s">
        <v>13</v>
      </c>
      <c r="E251" s="1" t="s">
        <v>20</v>
      </c>
      <c r="F251" s="1" t="s">
        <v>113</v>
      </c>
      <c r="G251" s="1" t="s">
        <v>148</v>
      </c>
      <c r="H251" s="1" t="s">
        <v>241</v>
      </c>
      <c r="I251" s="13" t="s">
        <v>74</v>
      </c>
      <c r="J251" s="104"/>
      <c r="K251" s="104"/>
      <c r="L251" s="104"/>
      <c r="M251" s="104"/>
      <c r="N251" s="104"/>
      <c r="O251" s="104"/>
      <c r="P251" s="104"/>
      <c r="Q251" s="104"/>
      <c r="R251" s="104"/>
      <c r="S251" s="104">
        <v>200000</v>
      </c>
      <c r="T251" s="104"/>
      <c r="U251" s="104"/>
      <c r="V251" s="104">
        <f t="shared" si="278"/>
        <v>200000</v>
      </c>
      <c r="W251" s="104">
        <f t="shared" si="279"/>
        <v>0</v>
      </c>
      <c r="X251" s="104">
        <f t="shared" si="280"/>
        <v>0</v>
      </c>
    </row>
    <row r="252" spans="1:24" ht="63.75">
      <c r="A252" s="11" t="s">
        <v>313</v>
      </c>
      <c r="B252" s="65" t="s">
        <v>41</v>
      </c>
      <c r="C252" s="1" t="s">
        <v>2</v>
      </c>
      <c r="D252" s="1" t="s">
        <v>13</v>
      </c>
      <c r="E252" s="1" t="s">
        <v>20</v>
      </c>
      <c r="F252" s="1" t="s">
        <v>113</v>
      </c>
      <c r="G252" s="65" t="s">
        <v>148</v>
      </c>
      <c r="H252" s="59" t="s">
        <v>206</v>
      </c>
      <c r="I252" s="92"/>
      <c r="J252" s="104">
        <f>J253</f>
        <v>133522</v>
      </c>
      <c r="K252" s="104">
        <f t="shared" ref="K252:O253" si="281">K253</f>
        <v>138863</v>
      </c>
      <c r="L252" s="104">
        <f t="shared" si="281"/>
        <v>157554</v>
      </c>
      <c r="M252" s="104">
        <f t="shared" si="281"/>
        <v>0</v>
      </c>
      <c r="N252" s="104">
        <f t="shared" si="281"/>
        <v>0</v>
      </c>
      <c r="O252" s="104">
        <f t="shared" si="281"/>
        <v>0</v>
      </c>
      <c r="P252" s="104">
        <f t="shared" si="208"/>
        <v>133522</v>
      </c>
      <c r="Q252" s="104">
        <f t="shared" si="209"/>
        <v>138863</v>
      </c>
      <c r="R252" s="104">
        <f t="shared" si="210"/>
        <v>157554</v>
      </c>
      <c r="S252" s="104">
        <f t="shared" ref="S252:U253" si="282">S253</f>
        <v>0</v>
      </c>
      <c r="T252" s="104">
        <f t="shared" si="282"/>
        <v>0</v>
      </c>
      <c r="U252" s="104">
        <f t="shared" si="282"/>
        <v>0</v>
      </c>
      <c r="V252" s="104">
        <f t="shared" si="258"/>
        <v>133522</v>
      </c>
      <c r="W252" s="104">
        <f t="shared" si="259"/>
        <v>138863</v>
      </c>
      <c r="X252" s="104">
        <f t="shared" si="260"/>
        <v>157554</v>
      </c>
    </row>
    <row r="253" spans="1:24" ht="25.5">
      <c r="A253" s="7" t="s">
        <v>72</v>
      </c>
      <c r="B253" s="65" t="s">
        <v>41</v>
      </c>
      <c r="C253" s="1" t="s">
        <v>2</v>
      </c>
      <c r="D253" s="1" t="s">
        <v>13</v>
      </c>
      <c r="E253" s="1" t="s">
        <v>20</v>
      </c>
      <c r="F253" s="1" t="s">
        <v>113</v>
      </c>
      <c r="G253" s="65" t="s">
        <v>148</v>
      </c>
      <c r="H253" s="59" t="s">
        <v>206</v>
      </c>
      <c r="I253" s="116" t="s">
        <v>71</v>
      </c>
      <c r="J253" s="104">
        <f>J254</f>
        <v>133522</v>
      </c>
      <c r="K253" s="104">
        <f t="shared" si="281"/>
        <v>138863</v>
      </c>
      <c r="L253" s="104">
        <f t="shared" si="281"/>
        <v>157554</v>
      </c>
      <c r="M253" s="104">
        <f t="shared" si="281"/>
        <v>0</v>
      </c>
      <c r="N253" s="104">
        <f t="shared" si="281"/>
        <v>0</v>
      </c>
      <c r="O253" s="104">
        <f t="shared" si="281"/>
        <v>0</v>
      </c>
      <c r="P253" s="104">
        <f t="shared" si="208"/>
        <v>133522</v>
      </c>
      <c r="Q253" s="104">
        <f t="shared" si="209"/>
        <v>138863</v>
      </c>
      <c r="R253" s="104">
        <f t="shared" si="210"/>
        <v>157554</v>
      </c>
      <c r="S253" s="104">
        <f t="shared" si="282"/>
        <v>0</v>
      </c>
      <c r="T253" s="104">
        <f t="shared" si="282"/>
        <v>0</v>
      </c>
      <c r="U253" s="104">
        <f t="shared" si="282"/>
        <v>0</v>
      </c>
      <c r="V253" s="104">
        <f t="shared" si="258"/>
        <v>133522</v>
      </c>
      <c r="W253" s="104">
        <f t="shared" si="259"/>
        <v>138863</v>
      </c>
      <c r="X253" s="104">
        <f t="shared" si="260"/>
        <v>157554</v>
      </c>
    </row>
    <row r="254" spans="1:24" s="85" customFormat="1">
      <c r="A254" s="11" t="s">
        <v>75</v>
      </c>
      <c r="B254" s="65" t="s">
        <v>41</v>
      </c>
      <c r="C254" s="1" t="s">
        <v>2</v>
      </c>
      <c r="D254" s="1" t="s">
        <v>13</v>
      </c>
      <c r="E254" s="1" t="s">
        <v>20</v>
      </c>
      <c r="F254" s="1" t="s">
        <v>113</v>
      </c>
      <c r="G254" s="65" t="s">
        <v>148</v>
      </c>
      <c r="H254" s="59" t="s">
        <v>206</v>
      </c>
      <c r="I254" s="116" t="s">
        <v>74</v>
      </c>
      <c r="J254" s="104">
        <v>133522</v>
      </c>
      <c r="K254" s="104">
        <v>138863</v>
      </c>
      <c r="L254" s="104">
        <v>157554</v>
      </c>
      <c r="M254" s="104"/>
      <c r="N254" s="104"/>
      <c r="O254" s="104"/>
      <c r="P254" s="104">
        <f t="shared" si="208"/>
        <v>133522</v>
      </c>
      <c r="Q254" s="104">
        <f t="shared" si="209"/>
        <v>138863</v>
      </c>
      <c r="R254" s="104">
        <f t="shared" si="210"/>
        <v>157554</v>
      </c>
      <c r="S254" s="104"/>
      <c r="T254" s="104"/>
      <c r="U254" s="104"/>
      <c r="V254" s="104">
        <f t="shared" si="258"/>
        <v>133522</v>
      </c>
      <c r="W254" s="104">
        <f t="shared" si="259"/>
        <v>138863</v>
      </c>
      <c r="X254" s="104">
        <f t="shared" si="260"/>
        <v>157554</v>
      </c>
    </row>
    <row r="255" spans="1:24" s="85" customFormat="1" ht="25.5">
      <c r="A255" s="7" t="s">
        <v>394</v>
      </c>
      <c r="B255" s="65" t="s">
        <v>41</v>
      </c>
      <c r="C255" s="1" t="s">
        <v>2</v>
      </c>
      <c r="D255" s="1" t="s">
        <v>13</v>
      </c>
      <c r="E255" s="1" t="s">
        <v>20</v>
      </c>
      <c r="F255" s="1" t="s">
        <v>113</v>
      </c>
      <c r="G255" s="1" t="s">
        <v>148</v>
      </c>
      <c r="H255" s="1" t="s">
        <v>243</v>
      </c>
      <c r="I255" s="13"/>
      <c r="J255" s="104">
        <f>J256</f>
        <v>4949039</v>
      </c>
      <c r="K255" s="104">
        <f t="shared" ref="K255:O256" si="283">K256</f>
        <v>4726418</v>
      </c>
      <c r="L255" s="104">
        <f t="shared" si="283"/>
        <v>4895270</v>
      </c>
      <c r="M255" s="104">
        <f t="shared" si="283"/>
        <v>0</v>
      </c>
      <c r="N255" s="104">
        <f t="shared" si="283"/>
        <v>0</v>
      </c>
      <c r="O255" s="104">
        <f t="shared" si="283"/>
        <v>0</v>
      </c>
      <c r="P255" s="104">
        <f t="shared" si="208"/>
        <v>4949039</v>
      </c>
      <c r="Q255" s="104">
        <f t="shared" si="209"/>
        <v>4726418</v>
      </c>
      <c r="R255" s="104">
        <f t="shared" si="210"/>
        <v>4895270</v>
      </c>
      <c r="S255" s="104">
        <f t="shared" ref="S255:U256" si="284">S256</f>
        <v>0</v>
      </c>
      <c r="T255" s="104">
        <f t="shared" si="284"/>
        <v>0</v>
      </c>
      <c r="U255" s="104">
        <f t="shared" si="284"/>
        <v>0</v>
      </c>
      <c r="V255" s="104">
        <f t="shared" si="258"/>
        <v>4949039</v>
      </c>
      <c r="W255" s="104">
        <f t="shared" si="259"/>
        <v>4726418</v>
      </c>
      <c r="X255" s="104">
        <f t="shared" si="260"/>
        <v>4895270</v>
      </c>
    </row>
    <row r="256" spans="1:24" s="85" customFormat="1" ht="25.5">
      <c r="A256" s="7" t="s">
        <v>72</v>
      </c>
      <c r="B256" s="65" t="s">
        <v>41</v>
      </c>
      <c r="C256" s="1" t="s">
        <v>2</v>
      </c>
      <c r="D256" s="1" t="s">
        <v>13</v>
      </c>
      <c r="E256" s="1" t="s">
        <v>20</v>
      </c>
      <c r="F256" s="1" t="s">
        <v>113</v>
      </c>
      <c r="G256" s="1" t="s">
        <v>148</v>
      </c>
      <c r="H256" s="1" t="s">
        <v>243</v>
      </c>
      <c r="I256" s="13" t="s">
        <v>71</v>
      </c>
      <c r="J256" s="104">
        <f>J257</f>
        <v>4949039</v>
      </c>
      <c r="K256" s="104">
        <f t="shared" si="283"/>
        <v>4726418</v>
      </c>
      <c r="L256" s="104">
        <f t="shared" si="283"/>
        <v>4895270</v>
      </c>
      <c r="M256" s="104">
        <f t="shared" si="283"/>
        <v>0</v>
      </c>
      <c r="N256" s="104">
        <f t="shared" si="283"/>
        <v>0</v>
      </c>
      <c r="O256" s="104">
        <f t="shared" si="283"/>
        <v>0</v>
      </c>
      <c r="P256" s="104">
        <f t="shared" si="208"/>
        <v>4949039</v>
      </c>
      <c r="Q256" s="104">
        <f t="shared" si="209"/>
        <v>4726418</v>
      </c>
      <c r="R256" s="104">
        <f t="shared" si="210"/>
        <v>4895270</v>
      </c>
      <c r="S256" s="104">
        <f t="shared" si="284"/>
        <v>0</v>
      </c>
      <c r="T256" s="104">
        <f t="shared" si="284"/>
        <v>0</v>
      </c>
      <c r="U256" s="104">
        <f t="shared" si="284"/>
        <v>0</v>
      </c>
      <c r="V256" s="104">
        <f t="shared" si="258"/>
        <v>4949039</v>
      </c>
      <c r="W256" s="104">
        <f t="shared" si="259"/>
        <v>4726418</v>
      </c>
      <c r="X256" s="104">
        <f t="shared" si="260"/>
        <v>4895270</v>
      </c>
    </row>
    <row r="257" spans="1:24" s="85" customFormat="1">
      <c r="A257" s="11" t="s">
        <v>75</v>
      </c>
      <c r="B257" s="65" t="s">
        <v>41</v>
      </c>
      <c r="C257" s="1" t="s">
        <v>2</v>
      </c>
      <c r="D257" s="1" t="s">
        <v>13</v>
      </c>
      <c r="E257" s="1" t="s">
        <v>20</v>
      </c>
      <c r="F257" s="1" t="s">
        <v>113</v>
      </c>
      <c r="G257" s="1" t="s">
        <v>148</v>
      </c>
      <c r="H257" s="1" t="s">
        <v>243</v>
      </c>
      <c r="I257" s="13" t="s">
        <v>74</v>
      </c>
      <c r="J257" s="104">
        <v>4949039</v>
      </c>
      <c r="K257" s="104">
        <v>4726418</v>
      </c>
      <c r="L257" s="104">
        <v>4895270</v>
      </c>
      <c r="M257" s="104"/>
      <c r="N257" s="104"/>
      <c r="O257" s="104"/>
      <c r="P257" s="104">
        <f t="shared" si="208"/>
        <v>4949039</v>
      </c>
      <c r="Q257" s="104">
        <f t="shared" si="209"/>
        <v>4726418</v>
      </c>
      <c r="R257" s="104">
        <f t="shared" si="210"/>
        <v>4895270</v>
      </c>
      <c r="S257" s="104"/>
      <c r="T257" s="104"/>
      <c r="U257" s="104"/>
      <c r="V257" s="104">
        <f t="shared" si="258"/>
        <v>4949039</v>
      </c>
      <c r="W257" s="104">
        <f t="shared" si="259"/>
        <v>4726418</v>
      </c>
      <c r="X257" s="104">
        <f t="shared" si="260"/>
        <v>4895270</v>
      </c>
    </row>
    <row r="258" spans="1:24" s="85" customFormat="1" ht="25.5">
      <c r="A258" s="7" t="s">
        <v>395</v>
      </c>
      <c r="B258" s="65" t="s">
        <v>41</v>
      </c>
      <c r="C258" s="1" t="s">
        <v>2</v>
      </c>
      <c r="D258" s="1" t="s">
        <v>13</v>
      </c>
      <c r="E258" s="1" t="s">
        <v>20</v>
      </c>
      <c r="F258" s="1" t="s">
        <v>113</v>
      </c>
      <c r="G258" s="1" t="s">
        <v>148</v>
      </c>
      <c r="H258" s="1" t="s">
        <v>244</v>
      </c>
      <c r="I258" s="13"/>
      <c r="J258" s="104">
        <f>J259</f>
        <v>2094854</v>
      </c>
      <c r="K258" s="104">
        <f t="shared" ref="K258:O259" si="285">K259</f>
        <v>2000622</v>
      </c>
      <c r="L258" s="104">
        <f t="shared" si="285"/>
        <v>2072094</v>
      </c>
      <c r="M258" s="104">
        <f t="shared" si="285"/>
        <v>0</v>
      </c>
      <c r="N258" s="104">
        <f t="shared" si="285"/>
        <v>0</v>
      </c>
      <c r="O258" s="104">
        <f t="shared" si="285"/>
        <v>0</v>
      </c>
      <c r="P258" s="104">
        <f t="shared" si="208"/>
        <v>2094854</v>
      </c>
      <c r="Q258" s="104">
        <f t="shared" si="209"/>
        <v>2000622</v>
      </c>
      <c r="R258" s="104">
        <f t="shared" si="210"/>
        <v>2072094</v>
      </c>
      <c r="S258" s="104">
        <f t="shared" ref="S258:U259" si="286">S259</f>
        <v>0</v>
      </c>
      <c r="T258" s="104">
        <f t="shared" si="286"/>
        <v>0</v>
      </c>
      <c r="U258" s="104">
        <f t="shared" si="286"/>
        <v>0</v>
      </c>
      <c r="V258" s="104">
        <f t="shared" si="258"/>
        <v>2094854</v>
      </c>
      <c r="W258" s="104">
        <f t="shared" si="259"/>
        <v>2000622</v>
      </c>
      <c r="X258" s="104">
        <f t="shared" si="260"/>
        <v>2072094</v>
      </c>
    </row>
    <row r="259" spans="1:24" s="85" customFormat="1" ht="25.5">
      <c r="A259" s="7" t="s">
        <v>72</v>
      </c>
      <c r="B259" s="65" t="s">
        <v>41</v>
      </c>
      <c r="C259" s="1" t="s">
        <v>2</v>
      </c>
      <c r="D259" s="1" t="s">
        <v>13</v>
      </c>
      <c r="E259" s="1" t="s">
        <v>20</v>
      </c>
      <c r="F259" s="1" t="s">
        <v>113</v>
      </c>
      <c r="G259" s="1" t="s">
        <v>148</v>
      </c>
      <c r="H259" s="1" t="s">
        <v>244</v>
      </c>
      <c r="I259" s="13" t="s">
        <v>71</v>
      </c>
      <c r="J259" s="104">
        <f>J260</f>
        <v>2094854</v>
      </c>
      <c r="K259" s="104">
        <f t="shared" si="285"/>
        <v>2000622</v>
      </c>
      <c r="L259" s="104">
        <f t="shared" si="285"/>
        <v>2072094</v>
      </c>
      <c r="M259" s="104">
        <f t="shared" si="285"/>
        <v>0</v>
      </c>
      <c r="N259" s="104">
        <f t="shared" si="285"/>
        <v>0</v>
      </c>
      <c r="O259" s="104">
        <f t="shared" si="285"/>
        <v>0</v>
      </c>
      <c r="P259" s="104">
        <f t="shared" ref="P259:P331" si="287">J259+M259</f>
        <v>2094854</v>
      </c>
      <c r="Q259" s="104">
        <f t="shared" ref="Q259:Q331" si="288">K259+N259</f>
        <v>2000622</v>
      </c>
      <c r="R259" s="104">
        <f t="shared" ref="R259:R331" si="289">L259+O259</f>
        <v>2072094</v>
      </c>
      <c r="S259" s="104">
        <f t="shared" si="286"/>
        <v>0</v>
      </c>
      <c r="T259" s="104">
        <f t="shared" si="286"/>
        <v>0</v>
      </c>
      <c r="U259" s="104">
        <f t="shared" si="286"/>
        <v>0</v>
      </c>
      <c r="V259" s="104">
        <f t="shared" si="258"/>
        <v>2094854</v>
      </c>
      <c r="W259" s="104">
        <f t="shared" si="259"/>
        <v>2000622</v>
      </c>
      <c r="X259" s="104">
        <f t="shared" si="260"/>
        <v>2072094</v>
      </c>
    </row>
    <row r="260" spans="1:24" s="85" customFormat="1">
      <c r="A260" s="11" t="s">
        <v>75</v>
      </c>
      <c r="B260" s="65" t="s">
        <v>41</v>
      </c>
      <c r="C260" s="1" t="s">
        <v>2</v>
      </c>
      <c r="D260" s="1" t="s">
        <v>13</v>
      </c>
      <c r="E260" s="1" t="s">
        <v>20</v>
      </c>
      <c r="F260" s="1" t="s">
        <v>113</v>
      </c>
      <c r="G260" s="1" t="s">
        <v>148</v>
      </c>
      <c r="H260" s="1" t="s">
        <v>244</v>
      </c>
      <c r="I260" s="13" t="s">
        <v>74</v>
      </c>
      <c r="J260" s="104">
        <v>2094854</v>
      </c>
      <c r="K260" s="104">
        <v>2000622</v>
      </c>
      <c r="L260" s="104">
        <v>2072094</v>
      </c>
      <c r="M260" s="104"/>
      <c r="N260" s="104"/>
      <c r="O260" s="104"/>
      <c r="P260" s="104">
        <f t="shared" si="287"/>
        <v>2094854</v>
      </c>
      <c r="Q260" s="104">
        <f t="shared" si="288"/>
        <v>2000622</v>
      </c>
      <c r="R260" s="104">
        <f t="shared" si="289"/>
        <v>2072094</v>
      </c>
      <c r="S260" s="104"/>
      <c r="T260" s="104"/>
      <c r="U260" s="104"/>
      <c r="V260" s="104">
        <f t="shared" si="258"/>
        <v>2094854</v>
      </c>
      <c r="W260" s="104">
        <f t="shared" si="259"/>
        <v>2000622</v>
      </c>
      <c r="X260" s="104">
        <f t="shared" si="260"/>
        <v>2072094</v>
      </c>
    </row>
    <row r="261" spans="1:24" s="85" customFormat="1" ht="25.5">
      <c r="A261" s="2" t="s">
        <v>141</v>
      </c>
      <c r="B261" s="65" t="s">
        <v>41</v>
      </c>
      <c r="C261" s="1" t="s">
        <v>2</v>
      </c>
      <c r="D261" s="1" t="s">
        <v>13</v>
      </c>
      <c r="E261" s="1" t="s">
        <v>20</v>
      </c>
      <c r="F261" s="1" t="s">
        <v>44</v>
      </c>
      <c r="G261" s="1" t="s">
        <v>148</v>
      </c>
      <c r="H261" s="1" t="s">
        <v>149</v>
      </c>
      <c r="I261" s="13"/>
      <c r="J261" s="104">
        <f t="shared" ref="J261:O263" si="290">J262</f>
        <v>300000</v>
      </c>
      <c r="K261" s="104">
        <f t="shared" si="290"/>
        <v>300000</v>
      </c>
      <c r="L261" s="104">
        <f t="shared" si="290"/>
        <v>300000</v>
      </c>
      <c r="M261" s="104">
        <f t="shared" si="290"/>
        <v>0</v>
      </c>
      <c r="N261" s="104">
        <f t="shared" si="290"/>
        <v>0</v>
      </c>
      <c r="O261" s="104">
        <f t="shared" si="290"/>
        <v>0</v>
      </c>
      <c r="P261" s="104">
        <f t="shared" si="287"/>
        <v>300000</v>
      </c>
      <c r="Q261" s="104">
        <f t="shared" si="288"/>
        <v>300000</v>
      </c>
      <c r="R261" s="104">
        <f t="shared" si="289"/>
        <v>300000</v>
      </c>
      <c r="S261" s="104">
        <f t="shared" ref="S261:U263" si="291">S262</f>
        <v>0</v>
      </c>
      <c r="T261" s="104">
        <f t="shared" si="291"/>
        <v>0</v>
      </c>
      <c r="U261" s="104">
        <f t="shared" si="291"/>
        <v>0</v>
      </c>
      <c r="V261" s="104">
        <f t="shared" si="258"/>
        <v>300000</v>
      </c>
      <c r="W261" s="104">
        <f t="shared" si="259"/>
        <v>300000</v>
      </c>
      <c r="X261" s="104">
        <f t="shared" si="260"/>
        <v>300000</v>
      </c>
    </row>
    <row r="262" spans="1:24" s="85" customFormat="1">
      <c r="A262" s="2" t="s">
        <v>88</v>
      </c>
      <c r="B262" s="65" t="s">
        <v>41</v>
      </c>
      <c r="C262" s="1" t="s">
        <v>2</v>
      </c>
      <c r="D262" s="1" t="s">
        <v>13</v>
      </c>
      <c r="E262" s="1" t="s">
        <v>20</v>
      </c>
      <c r="F262" s="1" t="s">
        <v>44</v>
      </c>
      <c r="G262" s="1" t="s">
        <v>148</v>
      </c>
      <c r="H262" s="1" t="s">
        <v>162</v>
      </c>
      <c r="I262" s="13"/>
      <c r="J262" s="104">
        <f t="shared" si="290"/>
        <v>300000</v>
      </c>
      <c r="K262" s="104">
        <f t="shared" si="290"/>
        <v>300000</v>
      </c>
      <c r="L262" s="104">
        <f t="shared" si="290"/>
        <v>300000</v>
      </c>
      <c r="M262" s="104">
        <f t="shared" si="290"/>
        <v>0</v>
      </c>
      <c r="N262" s="104">
        <f t="shared" si="290"/>
        <v>0</v>
      </c>
      <c r="O262" s="104">
        <f t="shared" si="290"/>
        <v>0</v>
      </c>
      <c r="P262" s="104">
        <f t="shared" si="287"/>
        <v>300000</v>
      </c>
      <c r="Q262" s="104">
        <f t="shared" si="288"/>
        <v>300000</v>
      </c>
      <c r="R262" s="104">
        <f t="shared" si="289"/>
        <v>300000</v>
      </c>
      <c r="S262" s="104">
        <f t="shared" si="291"/>
        <v>0</v>
      </c>
      <c r="T262" s="104">
        <f t="shared" si="291"/>
        <v>0</v>
      </c>
      <c r="U262" s="104">
        <f t="shared" si="291"/>
        <v>0</v>
      </c>
      <c r="V262" s="104">
        <f t="shared" si="258"/>
        <v>300000</v>
      </c>
      <c r="W262" s="104">
        <f t="shared" si="259"/>
        <v>300000</v>
      </c>
      <c r="X262" s="104">
        <f t="shared" si="260"/>
        <v>300000</v>
      </c>
    </row>
    <row r="263" spans="1:24" s="85" customFormat="1" ht="25.5">
      <c r="A263" s="7" t="s">
        <v>72</v>
      </c>
      <c r="B263" s="65" t="s">
        <v>41</v>
      </c>
      <c r="C263" s="1" t="s">
        <v>2</v>
      </c>
      <c r="D263" s="1" t="s">
        <v>13</v>
      </c>
      <c r="E263" s="1" t="s">
        <v>20</v>
      </c>
      <c r="F263" s="1" t="s">
        <v>44</v>
      </c>
      <c r="G263" s="1" t="s">
        <v>148</v>
      </c>
      <c r="H263" s="1" t="s">
        <v>162</v>
      </c>
      <c r="I263" s="13" t="s">
        <v>71</v>
      </c>
      <c r="J263" s="104">
        <f t="shared" si="290"/>
        <v>300000</v>
      </c>
      <c r="K263" s="104">
        <f t="shared" si="290"/>
        <v>300000</v>
      </c>
      <c r="L263" s="104">
        <f t="shared" si="290"/>
        <v>300000</v>
      </c>
      <c r="M263" s="104">
        <f t="shared" si="290"/>
        <v>0</v>
      </c>
      <c r="N263" s="104">
        <f t="shared" si="290"/>
        <v>0</v>
      </c>
      <c r="O263" s="104">
        <f t="shared" si="290"/>
        <v>0</v>
      </c>
      <c r="P263" s="104">
        <f t="shared" si="287"/>
        <v>300000</v>
      </c>
      <c r="Q263" s="104">
        <f t="shared" si="288"/>
        <v>300000</v>
      </c>
      <c r="R263" s="104">
        <f t="shared" si="289"/>
        <v>300000</v>
      </c>
      <c r="S263" s="104">
        <f t="shared" si="291"/>
        <v>0</v>
      </c>
      <c r="T263" s="104">
        <f t="shared" si="291"/>
        <v>0</v>
      </c>
      <c r="U263" s="104">
        <f t="shared" si="291"/>
        <v>0</v>
      </c>
      <c r="V263" s="104">
        <f t="shared" si="258"/>
        <v>300000</v>
      </c>
      <c r="W263" s="104">
        <f t="shared" si="259"/>
        <v>300000</v>
      </c>
      <c r="X263" s="104">
        <f t="shared" si="260"/>
        <v>300000</v>
      </c>
    </row>
    <row r="264" spans="1:24" s="85" customFormat="1">
      <c r="A264" s="11" t="s">
        <v>75</v>
      </c>
      <c r="B264" s="65" t="s">
        <v>41</v>
      </c>
      <c r="C264" s="1" t="s">
        <v>2</v>
      </c>
      <c r="D264" s="1" t="s">
        <v>13</v>
      </c>
      <c r="E264" s="1" t="s">
        <v>20</v>
      </c>
      <c r="F264" s="1" t="s">
        <v>44</v>
      </c>
      <c r="G264" s="1" t="s">
        <v>148</v>
      </c>
      <c r="H264" s="1" t="s">
        <v>162</v>
      </c>
      <c r="I264" s="13" t="s">
        <v>74</v>
      </c>
      <c r="J264" s="104">
        <v>300000</v>
      </c>
      <c r="K264" s="104">
        <v>300000</v>
      </c>
      <c r="L264" s="104">
        <v>300000</v>
      </c>
      <c r="M264" s="104"/>
      <c r="N264" s="104"/>
      <c r="O264" s="104"/>
      <c r="P264" s="104">
        <f t="shared" si="287"/>
        <v>300000</v>
      </c>
      <c r="Q264" s="104">
        <f t="shared" si="288"/>
        <v>300000</v>
      </c>
      <c r="R264" s="104">
        <f t="shared" si="289"/>
        <v>300000</v>
      </c>
      <c r="S264" s="104"/>
      <c r="T264" s="104"/>
      <c r="U264" s="104"/>
      <c r="V264" s="104">
        <f t="shared" si="258"/>
        <v>300000</v>
      </c>
      <c r="W264" s="104">
        <f t="shared" si="259"/>
        <v>300000</v>
      </c>
      <c r="X264" s="104">
        <f t="shared" si="260"/>
        <v>300000</v>
      </c>
    </row>
    <row r="265" spans="1:24" s="50" customFormat="1" ht="38.25">
      <c r="A265" s="111" t="s">
        <v>286</v>
      </c>
      <c r="B265" s="65" t="s">
        <v>41</v>
      </c>
      <c r="C265" s="1" t="s">
        <v>2</v>
      </c>
      <c r="D265" s="1" t="s">
        <v>13</v>
      </c>
      <c r="E265" s="1" t="s">
        <v>3</v>
      </c>
      <c r="F265" s="1" t="s">
        <v>70</v>
      </c>
      <c r="G265" s="1" t="s">
        <v>148</v>
      </c>
      <c r="H265" s="1" t="s">
        <v>149</v>
      </c>
      <c r="I265" s="13"/>
      <c r="J265" s="104">
        <f t="shared" ref="J265:O267" si="292">J266</f>
        <v>5000000</v>
      </c>
      <c r="K265" s="104">
        <f t="shared" si="292"/>
        <v>0</v>
      </c>
      <c r="L265" s="104">
        <f t="shared" si="292"/>
        <v>0</v>
      </c>
      <c r="M265" s="104">
        <f t="shared" si="292"/>
        <v>0</v>
      </c>
      <c r="N265" s="104">
        <f t="shared" si="292"/>
        <v>0</v>
      </c>
      <c r="O265" s="104">
        <f t="shared" si="292"/>
        <v>0</v>
      </c>
      <c r="P265" s="104">
        <f t="shared" si="287"/>
        <v>5000000</v>
      </c>
      <c r="Q265" s="104">
        <f t="shared" si="288"/>
        <v>0</v>
      </c>
      <c r="R265" s="104">
        <f t="shared" si="289"/>
        <v>0</v>
      </c>
      <c r="S265" s="104">
        <f t="shared" ref="S265:U267" si="293">S266</f>
        <v>0</v>
      </c>
      <c r="T265" s="104">
        <f t="shared" si="293"/>
        <v>0</v>
      </c>
      <c r="U265" s="104">
        <f t="shared" si="293"/>
        <v>0</v>
      </c>
      <c r="V265" s="104">
        <f t="shared" si="258"/>
        <v>5000000</v>
      </c>
      <c r="W265" s="104">
        <f t="shared" si="259"/>
        <v>0</v>
      </c>
      <c r="X265" s="104">
        <f t="shared" si="260"/>
        <v>0</v>
      </c>
    </row>
    <row r="266" spans="1:24" s="50" customFormat="1">
      <c r="A266" s="11" t="s">
        <v>240</v>
      </c>
      <c r="B266" s="65" t="s">
        <v>41</v>
      </c>
      <c r="C266" s="1" t="s">
        <v>2</v>
      </c>
      <c r="D266" s="1" t="s">
        <v>13</v>
      </c>
      <c r="E266" s="1" t="s">
        <v>3</v>
      </c>
      <c r="F266" s="1" t="s">
        <v>70</v>
      </c>
      <c r="G266" s="1" t="s">
        <v>148</v>
      </c>
      <c r="H266" s="1" t="s">
        <v>241</v>
      </c>
      <c r="I266" s="13"/>
      <c r="J266" s="102">
        <f t="shared" si="292"/>
        <v>5000000</v>
      </c>
      <c r="K266" s="102">
        <f t="shared" si="292"/>
        <v>0</v>
      </c>
      <c r="L266" s="102">
        <f t="shared" si="292"/>
        <v>0</v>
      </c>
      <c r="M266" s="102">
        <f t="shared" si="292"/>
        <v>0</v>
      </c>
      <c r="N266" s="102">
        <f t="shared" si="292"/>
        <v>0</v>
      </c>
      <c r="O266" s="102">
        <f t="shared" si="292"/>
        <v>0</v>
      </c>
      <c r="P266" s="102">
        <f t="shared" si="287"/>
        <v>5000000</v>
      </c>
      <c r="Q266" s="102">
        <f t="shared" si="288"/>
        <v>0</v>
      </c>
      <c r="R266" s="102">
        <f t="shared" si="289"/>
        <v>0</v>
      </c>
      <c r="S266" s="102">
        <f t="shared" si="293"/>
        <v>0</v>
      </c>
      <c r="T266" s="102">
        <f t="shared" si="293"/>
        <v>0</v>
      </c>
      <c r="U266" s="102">
        <f t="shared" si="293"/>
        <v>0</v>
      </c>
      <c r="V266" s="102">
        <f t="shared" si="258"/>
        <v>5000000</v>
      </c>
      <c r="W266" s="102">
        <f t="shared" si="259"/>
        <v>0</v>
      </c>
      <c r="X266" s="102">
        <f t="shared" si="260"/>
        <v>0</v>
      </c>
    </row>
    <row r="267" spans="1:24" s="50" customFormat="1" ht="25.5">
      <c r="A267" s="7" t="s">
        <v>72</v>
      </c>
      <c r="B267" s="65" t="s">
        <v>41</v>
      </c>
      <c r="C267" s="1" t="s">
        <v>2</v>
      </c>
      <c r="D267" s="1" t="s">
        <v>13</v>
      </c>
      <c r="E267" s="1" t="s">
        <v>3</v>
      </c>
      <c r="F267" s="1" t="s">
        <v>70</v>
      </c>
      <c r="G267" s="1" t="s">
        <v>148</v>
      </c>
      <c r="H267" s="1" t="s">
        <v>241</v>
      </c>
      <c r="I267" s="13" t="s">
        <v>71</v>
      </c>
      <c r="J267" s="102">
        <f t="shared" si="292"/>
        <v>5000000</v>
      </c>
      <c r="K267" s="102">
        <f t="shared" si="292"/>
        <v>0</v>
      </c>
      <c r="L267" s="102">
        <f t="shared" si="292"/>
        <v>0</v>
      </c>
      <c r="M267" s="102">
        <f t="shared" si="292"/>
        <v>0</v>
      </c>
      <c r="N267" s="102">
        <f t="shared" si="292"/>
        <v>0</v>
      </c>
      <c r="O267" s="102">
        <f t="shared" si="292"/>
        <v>0</v>
      </c>
      <c r="P267" s="102">
        <f t="shared" si="287"/>
        <v>5000000</v>
      </c>
      <c r="Q267" s="102">
        <f t="shared" si="288"/>
        <v>0</v>
      </c>
      <c r="R267" s="102">
        <f t="shared" si="289"/>
        <v>0</v>
      </c>
      <c r="S267" s="102">
        <f t="shared" si="293"/>
        <v>0</v>
      </c>
      <c r="T267" s="102">
        <f t="shared" si="293"/>
        <v>0</v>
      </c>
      <c r="U267" s="102">
        <f t="shared" si="293"/>
        <v>0</v>
      </c>
      <c r="V267" s="102">
        <f t="shared" si="258"/>
        <v>5000000</v>
      </c>
      <c r="W267" s="102">
        <f t="shared" si="259"/>
        <v>0</v>
      </c>
      <c r="X267" s="102">
        <f t="shared" si="260"/>
        <v>0</v>
      </c>
    </row>
    <row r="268" spans="1:24" s="85" customFormat="1">
      <c r="A268" s="11" t="s">
        <v>75</v>
      </c>
      <c r="B268" s="65" t="s">
        <v>41</v>
      </c>
      <c r="C268" s="1" t="s">
        <v>2</v>
      </c>
      <c r="D268" s="1" t="s">
        <v>13</v>
      </c>
      <c r="E268" s="1" t="s">
        <v>3</v>
      </c>
      <c r="F268" s="1" t="s">
        <v>70</v>
      </c>
      <c r="G268" s="1" t="s">
        <v>148</v>
      </c>
      <c r="H268" s="1" t="s">
        <v>241</v>
      </c>
      <c r="I268" s="13" t="s">
        <v>74</v>
      </c>
      <c r="J268" s="102">
        <v>5000000</v>
      </c>
      <c r="K268" s="102"/>
      <c r="L268" s="102"/>
      <c r="M268" s="102"/>
      <c r="N268" s="102"/>
      <c r="O268" s="102"/>
      <c r="P268" s="102">
        <f t="shared" si="287"/>
        <v>5000000</v>
      </c>
      <c r="Q268" s="102">
        <f t="shared" si="288"/>
        <v>0</v>
      </c>
      <c r="R268" s="102">
        <f t="shared" si="289"/>
        <v>0</v>
      </c>
      <c r="S268" s="102"/>
      <c r="T268" s="102"/>
      <c r="U268" s="102"/>
      <c r="V268" s="102">
        <f t="shared" si="258"/>
        <v>5000000</v>
      </c>
      <c r="W268" s="102">
        <f t="shared" si="259"/>
        <v>0</v>
      </c>
      <c r="X268" s="102">
        <f t="shared" si="260"/>
        <v>0</v>
      </c>
    </row>
    <row r="269" spans="1:24">
      <c r="A269" s="11"/>
      <c r="B269" s="117"/>
      <c r="C269" s="1"/>
      <c r="D269" s="1"/>
      <c r="E269" s="1"/>
      <c r="F269" s="1"/>
      <c r="G269" s="1"/>
      <c r="H269" s="1"/>
      <c r="I269" s="13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</row>
    <row r="270" spans="1:24">
      <c r="A270" s="4" t="s">
        <v>199</v>
      </c>
      <c r="B270" s="14" t="s">
        <v>41</v>
      </c>
      <c r="C270" s="14" t="s">
        <v>2</v>
      </c>
      <c r="D270" s="14" t="s">
        <v>2</v>
      </c>
      <c r="E270" s="14"/>
      <c r="F270" s="14"/>
      <c r="G270" s="14"/>
      <c r="H270" s="14"/>
      <c r="I270" s="28"/>
      <c r="J270" s="101">
        <f>J271</f>
        <v>5112590.37</v>
      </c>
      <c r="K270" s="101">
        <f t="shared" ref="K270:O270" si="294">K271</f>
        <v>5138948.13</v>
      </c>
      <c r="L270" s="101">
        <f t="shared" si="294"/>
        <v>5355890.47</v>
      </c>
      <c r="M270" s="101">
        <f t="shared" si="294"/>
        <v>0</v>
      </c>
      <c r="N270" s="101">
        <f t="shared" si="294"/>
        <v>0</v>
      </c>
      <c r="O270" s="101">
        <f t="shared" si="294"/>
        <v>0</v>
      </c>
      <c r="P270" s="101">
        <f t="shared" si="287"/>
        <v>5112590.37</v>
      </c>
      <c r="Q270" s="101">
        <f t="shared" si="288"/>
        <v>5138948.13</v>
      </c>
      <c r="R270" s="101">
        <f t="shared" si="289"/>
        <v>5355890.47</v>
      </c>
      <c r="S270" s="101">
        <f t="shared" ref="S270:U270" si="295">S271</f>
        <v>70000</v>
      </c>
      <c r="T270" s="101">
        <f t="shared" si="295"/>
        <v>0</v>
      </c>
      <c r="U270" s="101">
        <f t="shared" si="295"/>
        <v>0</v>
      </c>
      <c r="V270" s="101">
        <f t="shared" ref="V270:V287" si="296">P270+S270</f>
        <v>5182590.37</v>
      </c>
      <c r="W270" s="101">
        <f t="shared" ref="W270:W287" si="297">Q270+T270</f>
        <v>5138948.13</v>
      </c>
      <c r="X270" s="101">
        <f t="shared" ref="X270:X287" si="298">R270+U270</f>
        <v>5355890.47</v>
      </c>
    </row>
    <row r="271" spans="1:24" ht="25.5">
      <c r="A271" s="2" t="s">
        <v>285</v>
      </c>
      <c r="B271" s="65" t="s">
        <v>41</v>
      </c>
      <c r="C271" s="65" t="s">
        <v>2</v>
      </c>
      <c r="D271" s="65" t="s">
        <v>2</v>
      </c>
      <c r="E271" s="65" t="s">
        <v>20</v>
      </c>
      <c r="F271" s="65" t="s">
        <v>70</v>
      </c>
      <c r="G271" s="65" t="s">
        <v>148</v>
      </c>
      <c r="H271" s="65" t="s">
        <v>149</v>
      </c>
      <c r="I271" s="92"/>
      <c r="J271" s="104">
        <f>+J272</f>
        <v>5112590.37</v>
      </c>
      <c r="K271" s="104">
        <f t="shared" ref="K271:O271" si="299">+K272</f>
        <v>5138948.13</v>
      </c>
      <c r="L271" s="104">
        <f t="shared" si="299"/>
        <v>5355890.47</v>
      </c>
      <c r="M271" s="104">
        <f t="shared" si="299"/>
        <v>0</v>
      </c>
      <c r="N271" s="104">
        <f t="shared" si="299"/>
        <v>0</v>
      </c>
      <c r="O271" s="104">
        <f t="shared" si="299"/>
        <v>0</v>
      </c>
      <c r="P271" s="104">
        <f t="shared" si="287"/>
        <v>5112590.37</v>
      </c>
      <c r="Q271" s="104">
        <f t="shared" si="288"/>
        <v>5138948.13</v>
      </c>
      <c r="R271" s="104">
        <f t="shared" si="289"/>
        <v>5355890.47</v>
      </c>
      <c r="S271" s="104">
        <f t="shared" ref="S271:U271" si="300">+S272</f>
        <v>70000</v>
      </c>
      <c r="T271" s="104">
        <f t="shared" si="300"/>
        <v>0</v>
      </c>
      <c r="U271" s="104">
        <f t="shared" si="300"/>
        <v>0</v>
      </c>
      <c r="V271" s="104">
        <f t="shared" si="296"/>
        <v>5182590.37</v>
      </c>
      <c r="W271" s="104">
        <f t="shared" si="297"/>
        <v>5138948.13</v>
      </c>
      <c r="X271" s="104">
        <f t="shared" si="298"/>
        <v>5355890.47</v>
      </c>
    </row>
    <row r="272" spans="1:24" s="85" customFormat="1" ht="25.5">
      <c r="A272" s="2" t="s">
        <v>147</v>
      </c>
      <c r="B272" s="65" t="s">
        <v>41</v>
      </c>
      <c r="C272" s="65" t="s">
        <v>2</v>
      </c>
      <c r="D272" s="65" t="s">
        <v>2</v>
      </c>
      <c r="E272" s="65" t="s">
        <v>20</v>
      </c>
      <c r="F272" s="59" t="s">
        <v>67</v>
      </c>
      <c r="G272" s="65" t="s">
        <v>148</v>
      </c>
      <c r="H272" s="65" t="s">
        <v>149</v>
      </c>
      <c r="I272" s="92"/>
      <c r="J272" s="104">
        <f>J276+J279+J285+J282+J273</f>
        <v>5112590.37</v>
      </c>
      <c r="K272" s="104">
        <f t="shared" ref="K272:L272" si="301">K276+K279+K285+K282+K273</f>
        <v>5138948.13</v>
      </c>
      <c r="L272" s="104">
        <f t="shared" si="301"/>
        <v>5355890.47</v>
      </c>
      <c r="M272" s="104">
        <f t="shared" ref="M272:O272" si="302">M276+M279+M285+M282+M273</f>
        <v>0</v>
      </c>
      <c r="N272" s="104">
        <f t="shared" si="302"/>
        <v>0</v>
      </c>
      <c r="O272" s="104">
        <f t="shared" si="302"/>
        <v>0</v>
      </c>
      <c r="P272" s="104">
        <f t="shared" si="287"/>
        <v>5112590.37</v>
      </c>
      <c r="Q272" s="104">
        <f t="shared" si="288"/>
        <v>5138948.13</v>
      </c>
      <c r="R272" s="104">
        <f t="shared" si="289"/>
        <v>5355890.47</v>
      </c>
      <c r="S272" s="104">
        <f>S276+S279+S285+S282+S273+S288</f>
        <v>70000</v>
      </c>
      <c r="T272" s="104">
        <f t="shared" ref="T272:U272" si="303">T276+T279+T285+T282+T273+T288</f>
        <v>0</v>
      </c>
      <c r="U272" s="104">
        <f t="shared" si="303"/>
        <v>0</v>
      </c>
      <c r="V272" s="104">
        <f t="shared" si="296"/>
        <v>5182590.37</v>
      </c>
      <c r="W272" s="104">
        <f t="shared" si="297"/>
        <v>5138948.13</v>
      </c>
      <c r="X272" s="104">
        <f t="shared" si="298"/>
        <v>5355890.47</v>
      </c>
    </row>
    <row r="273" spans="1:24" s="85" customFormat="1" ht="25.5">
      <c r="A273" s="11" t="s">
        <v>208</v>
      </c>
      <c r="B273" s="65" t="s">
        <v>41</v>
      </c>
      <c r="C273" s="65" t="s">
        <v>2</v>
      </c>
      <c r="D273" s="65" t="s">
        <v>2</v>
      </c>
      <c r="E273" s="1" t="s">
        <v>20</v>
      </c>
      <c r="F273" s="1" t="s">
        <v>67</v>
      </c>
      <c r="G273" s="1" t="s">
        <v>148</v>
      </c>
      <c r="H273" s="1" t="s">
        <v>207</v>
      </c>
      <c r="I273" s="13"/>
      <c r="J273" s="104">
        <f t="shared" ref="J273:O274" si="304">J274</f>
        <v>100000</v>
      </c>
      <c r="K273" s="104">
        <f t="shared" si="304"/>
        <v>100000</v>
      </c>
      <c r="L273" s="104">
        <f t="shared" si="304"/>
        <v>100000</v>
      </c>
      <c r="M273" s="104">
        <f t="shared" si="304"/>
        <v>0</v>
      </c>
      <c r="N273" s="104">
        <f t="shared" si="304"/>
        <v>0</v>
      </c>
      <c r="O273" s="104">
        <f t="shared" si="304"/>
        <v>0</v>
      </c>
      <c r="P273" s="104">
        <f t="shared" si="287"/>
        <v>100000</v>
      </c>
      <c r="Q273" s="104">
        <f t="shared" si="288"/>
        <v>100000</v>
      </c>
      <c r="R273" s="104">
        <f t="shared" si="289"/>
        <v>100000</v>
      </c>
      <c r="S273" s="104">
        <f t="shared" ref="S273:U274" si="305">S274</f>
        <v>0</v>
      </c>
      <c r="T273" s="104">
        <f t="shared" si="305"/>
        <v>0</v>
      </c>
      <c r="U273" s="104">
        <f t="shared" si="305"/>
        <v>0</v>
      </c>
      <c r="V273" s="104">
        <f t="shared" si="296"/>
        <v>100000</v>
      </c>
      <c r="W273" s="104">
        <f t="shared" si="297"/>
        <v>100000</v>
      </c>
      <c r="X273" s="104">
        <f t="shared" si="298"/>
        <v>100000</v>
      </c>
    </row>
    <row r="274" spans="1:24" s="85" customFormat="1" ht="25.5">
      <c r="A274" s="7" t="s">
        <v>72</v>
      </c>
      <c r="B274" s="65" t="s">
        <v>41</v>
      </c>
      <c r="C274" s="65" t="s">
        <v>2</v>
      </c>
      <c r="D274" s="65" t="s">
        <v>2</v>
      </c>
      <c r="E274" s="1" t="s">
        <v>20</v>
      </c>
      <c r="F274" s="1" t="s">
        <v>67</v>
      </c>
      <c r="G274" s="1" t="s">
        <v>148</v>
      </c>
      <c r="H274" s="1" t="s">
        <v>207</v>
      </c>
      <c r="I274" s="13" t="s">
        <v>71</v>
      </c>
      <c r="J274" s="104">
        <f t="shared" si="304"/>
        <v>100000</v>
      </c>
      <c r="K274" s="104">
        <f t="shared" si="304"/>
        <v>100000</v>
      </c>
      <c r="L274" s="104">
        <f t="shared" si="304"/>
        <v>100000</v>
      </c>
      <c r="M274" s="104">
        <f t="shared" si="304"/>
        <v>0</v>
      </c>
      <c r="N274" s="104">
        <f t="shared" si="304"/>
        <v>0</v>
      </c>
      <c r="O274" s="104">
        <f t="shared" si="304"/>
        <v>0</v>
      </c>
      <c r="P274" s="104">
        <f t="shared" si="287"/>
        <v>100000</v>
      </c>
      <c r="Q274" s="104">
        <f t="shared" si="288"/>
        <v>100000</v>
      </c>
      <c r="R274" s="104">
        <f t="shared" si="289"/>
        <v>100000</v>
      </c>
      <c r="S274" s="104">
        <f t="shared" si="305"/>
        <v>0</v>
      </c>
      <c r="T274" s="104">
        <f t="shared" si="305"/>
        <v>0</v>
      </c>
      <c r="U274" s="104">
        <f t="shared" si="305"/>
        <v>0</v>
      </c>
      <c r="V274" s="104">
        <f t="shared" si="296"/>
        <v>100000</v>
      </c>
      <c r="W274" s="104">
        <f t="shared" si="297"/>
        <v>100000</v>
      </c>
      <c r="X274" s="104">
        <f t="shared" si="298"/>
        <v>100000</v>
      </c>
    </row>
    <row r="275" spans="1:24">
      <c r="A275" s="11" t="s">
        <v>75</v>
      </c>
      <c r="B275" s="65" t="s">
        <v>41</v>
      </c>
      <c r="C275" s="65" t="s">
        <v>2</v>
      </c>
      <c r="D275" s="65" t="s">
        <v>2</v>
      </c>
      <c r="E275" s="1" t="s">
        <v>20</v>
      </c>
      <c r="F275" s="1" t="s">
        <v>67</v>
      </c>
      <c r="G275" s="1" t="s">
        <v>148</v>
      </c>
      <c r="H275" s="1" t="s">
        <v>207</v>
      </c>
      <c r="I275" s="13" t="s">
        <v>74</v>
      </c>
      <c r="J275" s="104">
        <v>100000</v>
      </c>
      <c r="K275" s="104">
        <v>100000</v>
      </c>
      <c r="L275" s="104">
        <v>100000</v>
      </c>
      <c r="M275" s="104"/>
      <c r="N275" s="104"/>
      <c r="O275" s="104"/>
      <c r="P275" s="104">
        <f t="shared" si="287"/>
        <v>100000</v>
      </c>
      <c r="Q275" s="104">
        <f t="shared" si="288"/>
        <v>100000</v>
      </c>
      <c r="R275" s="104">
        <f t="shared" si="289"/>
        <v>100000</v>
      </c>
      <c r="S275" s="104"/>
      <c r="T275" s="104"/>
      <c r="U275" s="104"/>
      <c r="V275" s="104">
        <f t="shared" si="296"/>
        <v>100000</v>
      </c>
      <c r="W275" s="104">
        <f t="shared" si="297"/>
        <v>100000</v>
      </c>
      <c r="X275" s="104">
        <f t="shared" si="298"/>
        <v>100000</v>
      </c>
    </row>
    <row r="276" spans="1:24" ht="25.5">
      <c r="A276" s="2" t="s">
        <v>89</v>
      </c>
      <c r="B276" s="65" t="s">
        <v>41</v>
      </c>
      <c r="C276" s="65" t="s">
        <v>2</v>
      </c>
      <c r="D276" s="65" t="s">
        <v>2</v>
      </c>
      <c r="E276" s="65" t="s">
        <v>20</v>
      </c>
      <c r="F276" s="59" t="s">
        <v>67</v>
      </c>
      <c r="G276" s="65" t="s">
        <v>148</v>
      </c>
      <c r="H276" s="65" t="s">
        <v>165</v>
      </c>
      <c r="I276" s="92"/>
      <c r="J276" s="104">
        <f>J277</f>
        <v>2961502</v>
      </c>
      <c r="K276" s="104">
        <f t="shared" ref="K276:O277" si="306">K277</f>
        <v>2994036.51</v>
      </c>
      <c r="L276" s="104">
        <f t="shared" si="306"/>
        <v>3144379.58</v>
      </c>
      <c r="M276" s="104">
        <f t="shared" si="306"/>
        <v>0</v>
      </c>
      <c r="N276" s="104">
        <f t="shared" si="306"/>
        <v>0</v>
      </c>
      <c r="O276" s="104">
        <f t="shared" si="306"/>
        <v>0</v>
      </c>
      <c r="P276" s="104">
        <f t="shared" si="287"/>
        <v>2961502</v>
      </c>
      <c r="Q276" s="104">
        <f t="shared" si="288"/>
        <v>2994036.51</v>
      </c>
      <c r="R276" s="104">
        <f t="shared" si="289"/>
        <v>3144379.58</v>
      </c>
      <c r="S276" s="104">
        <f t="shared" ref="S276:U277" si="307">S277</f>
        <v>0</v>
      </c>
      <c r="T276" s="104">
        <f t="shared" si="307"/>
        <v>0</v>
      </c>
      <c r="U276" s="104">
        <f t="shared" si="307"/>
        <v>0</v>
      </c>
      <c r="V276" s="104">
        <f t="shared" si="296"/>
        <v>2961502</v>
      </c>
      <c r="W276" s="104">
        <f t="shared" si="297"/>
        <v>2994036.51</v>
      </c>
      <c r="X276" s="104">
        <f t="shared" si="298"/>
        <v>3144379.58</v>
      </c>
    </row>
    <row r="277" spans="1:24" ht="25.5">
      <c r="A277" s="7" t="s">
        <v>72</v>
      </c>
      <c r="B277" s="65" t="s">
        <v>41</v>
      </c>
      <c r="C277" s="65" t="s">
        <v>2</v>
      </c>
      <c r="D277" s="65" t="s">
        <v>2</v>
      </c>
      <c r="E277" s="65" t="s">
        <v>20</v>
      </c>
      <c r="F277" s="59" t="s">
        <v>67</v>
      </c>
      <c r="G277" s="65" t="s">
        <v>148</v>
      </c>
      <c r="H277" s="65" t="s">
        <v>165</v>
      </c>
      <c r="I277" s="92" t="s">
        <v>71</v>
      </c>
      <c r="J277" s="104">
        <f>J278</f>
        <v>2961502</v>
      </c>
      <c r="K277" s="104">
        <f t="shared" si="306"/>
        <v>2994036.51</v>
      </c>
      <c r="L277" s="104">
        <f t="shared" si="306"/>
        <v>3144379.58</v>
      </c>
      <c r="M277" s="104">
        <f t="shared" si="306"/>
        <v>0</v>
      </c>
      <c r="N277" s="104">
        <f t="shared" si="306"/>
        <v>0</v>
      </c>
      <c r="O277" s="104">
        <f t="shared" si="306"/>
        <v>0</v>
      </c>
      <c r="P277" s="104">
        <f t="shared" si="287"/>
        <v>2961502</v>
      </c>
      <c r="Q277" s="104">
        <f t="shared" si="288"/>
        <v>2994036.51</v>
      </c>
      <c r="R277" s="104">
        <f t="shared" si="289"/>
        <v>3144379.58</v>
      </c>
      <c r="S277" s="104">
        <f t="shared" si="307"/>
        <v>0</v>
      </c>
      <c r="T277" s="104">
        <f t="shared" si="307"/>
        <v>0</v>
      </c>
      <c r="U277" s="104">
        <f t="shared" si="307"/>
        <v>0</v>
      </c>
      <c r="V277" s="104">
        <f t="shared" si="296"/>
        <v>2961502</v>
      </c>
      <c r="W277" s="104">
        <f t="shared" si="297"/>
        <v>2994036.51</v>
      </c>
      <c r="X277" s="104">
        <f t="shared" si="298"/>
        <v>3144379.58</v>
      </c>
    </row>
    <row r="278" spans="1:24">
      <c r="A278" s="11" t="s">
        <v>75</v>
      </c>
      <c r="B278" s="65" t="s">
        <v>41</v>
      </c>
      <c r="C278" s="65" t="s">
        <v>2</v>
      </c>
      <c r="D278" s="65" t="s">
        <v>2</v>
      </c>
      <c r="E278" s="65" t="s">
        <v>20</v>
      </c>
      <c r="F278" s="59" t="s">
        <v>67</v>
      </c>
      <c r="G278" s="65" t="s">
        <v>148</v>
      </c>
      <c r="H278" s="65" t="s">
        <v>165</v>
      </c>
      <c r="I278" s="92" t="s">
        <v>74</v>
      </c>
      <c r="J278" s="104">
        <v>2961502</v>
      </c>
      <c r="K278" s="104">
        <v>2994036.51</v>
      </c>
      <c r="L278" s="104">
        <v>3144379.58</v>
      </c>
      <c r="M278" s="104"/>
      <c r="N278" s="104"/>
      <c r="O278" s="104"/>
      <c r="P278" s="104">
        <f t="shared" si="287"/>
        <v>2961502</v>
      </c>
      <c r="Q278" s="104">
        <f t="shared" si="288"/>
        <v>2994036.51</v>
      </c>
      <c r="R278" s="104">
        <f t="shared" si="289"/>
        <v>3144379.58</v>
      </c>
      <c r="S278" s="104"/>
      <c r="T278" s="104"/>
      <c r="U278" s="104"/>
      <c r="V278" s="104">
        <f t="shared" si="296"/>
        <v>2961502</v>
      </c>
      <c r="W278" s="104">
        <f t="shared" si="297"/>
        <v>2994036.51</v>
      </c>
      <c r="X278" s="104">
        <f t="shared" si="298"/>
        <v>3144379.58</v>
      </c>
    </row>
    <row r="279" spans="1:24">
      <c r="A279" s="2" t="s">
        <v>101</v>
      </c>
      <c r="B279" s="65" t="s">
        <v>41</v>
      </c>
      <c r="C279" s="65" t="s">
        <v>2</v>
      </c>
      <c r="D279" s="65" t="s">
        <v>2</v>
      </c>
      <c r="E279" s="65" t="s">
        <v>20</v>
      </c>
      <c r="F279" s="59" t="s">
        <v>67</v>
      </c>
      <c r="G279" s="65" t="s">
        <v>148</v>
      </c>
      <c r="H279" s="65" t="s">
        <v>166</v>
      </c>
      <c r="I279" s="92"/>
      <c r="J279" s="104">
        <f>J280</f>
        <v>80000</v>
      </c>
      <c r="K279" s="104">
        <f t="shared" ref="K279:O280" si="308">K280</f>
        <v>80000</v>
      </c>
      <c r="L279" s="104">
        <f t="shared" si="308"/>
        <v>80000</v>
      </c>
      <c r="M279" s="104">
        <f t="shared" si="308"/>
        <v>0</v>
      </c>
      <c r="N279" s="104">
        <f t="shared" si="308"/>
        <v>0</v>
      </c>
      <c r="O279" s="104">
        <f t="shared" si="308"/>
        <v>0</v>
      </c>
      <c r="P279" s="104">
        <f t="shared" si="287"/>
        <v>80000</v>
      </c>
      <c r="Q279" s="104">
        <f t="shared" si="288"/>
        <v>80000</v>
      </c>
      <c r="R279" s="104">
        <f t="shared" si="289"/>
        <v>80000</v>
      </c>
      <c r="S279" s="104">
        <f t="shared" ref="S279:U280" si="309">S280</f>
        <v>0</v>
      </c>
      <c r="T279" s="104">
        <f t="shared" si="309"/>
        <v>0</v>
      </c>
      <c r="U279" s="104">
        <f t="shared" si="309"/>
        <v>0</v>
      </c>
      <c r="V279" s="104">
        <f t="shared" si="296"/>
        <v>80000</v>
      </c>
      <c r="W279" s="104">
        <f t="shared" si="297"/>
        <v>80000</v>
      </c>
      <c r="X279" s="104">
        <f t="shared" si="298"/>
        <v>80000</v>
      </c>
    </row>
    <row r="280" spans="1:24" ht="25.5">
      <c r="A280" s="7" t="s">
        <v>72</v>
      </c>
      <c r="B280" s="65" t="s">
        <v>41</v>
      </c>
      <c r="C280" s="65" t="s">
        <v>2</v>
      </c>
      <c r="D280" s="65" t="s">
        <v>2</v>
      </c>
      <c r="E280" s="65" t="s">
        <v>20</v>
      </c>
      <c r="F280" s="59" t="s">
        <v>67</v>
      </c>
      <c r="G280" s="65" t="s">
        <v>148</v>
      </c>
      <c r="H280" s="65" t="s">
        <v>166</v>
      </c>
      <c r="I280" s="92" t="s">
        <v>71</v>
      </c>
      <c r="J280" s="104">
        <f>J281</f>
        <v>80000</v>
      </c>
      <c r="K280" s="104">
        <f t="shared" si="308"/>
        <v>80000</v>
      </c>
      <c r="L280" s="104">
        <f t="shared" si="308"/>
        <v>80000</v>
      </c>
      <c r="M280" s="104">
        <f t="shared" si="308"/>
        <v>0</v>
      </c>
      <c r="N280" s="104">
        <f t="shared" si="308"/>
        <v>0</v>
      </c>
      <c r="O280" s="104">
        <f t="shared" si="308"/>
        <v>0</v>
      </c>
      <c r="P280" s="104">
        <f t="shared" si="287"/>
        <v>80000</v>
      </c>
      <c r="Q280" s="104">
        <f t="shared" si="288"/>
        <v>80000</v>
      </c>
      <c r="R280" s="104">
        <f t="shared" si="289"/>
        <v>80000</v>
      </c>
      <c r="S280" s="104">
        <f t="shared" si="309"/>
        <v>0</v>
      </c>
      <c r="T280" s="104">
        <f t="shared" si="309"/>
        <v>0</v>
      </c>
      <c r="U280" s="104">
        <f t="shared" si="309"/>
        <v>0</v>
      </c>
      <c r="V280" s="104">
        <f t="shared" si="296"/>
        <v>80000</v>
      </c>
      <c r="W280" s="104">
        <f t="shared" si="297"/>
        <v>80000</v>
      </c>
      <c r="X280" s="104">
        <f t="shared" si="298"/>
        <v>80000</v>
      </c>
    </row>
    <row r="281" spans="1:24">
      <c r="A281" s="11" t="s">
        <v>75</v>
      </c>
      <c r="B281" s="65" t="s">
        <v>41</v>
      </c>
      <c r="C281" s="65" t="s">
        <v>2</v>
      </c>
      <c r="D281" s="65" t="s">
        <v>2</v>
      </c>
      <c r="E281" s="65" t="s">
        <v>20</v>
      </c>
      <c r="F281" s="59" t="s">
        <v>67</v>
      </c>
      <c r="G281" s="65" t="s">
        <v>148</v>
      </c>
      <c r="H281" s="65" t="s">
        <v>166</v>
      </c>
      <c r="I281" s="92" t="s">
        <v>74</v>
      </c>
      <c r="J281" s="104">
        <v>80000</v>
      </c>
      <c r="K281" s="104">
        <v>80000</v>
      </c>
      <c r="L281" s="104">
        <v>80000</v>
      </c>
      <c r="M281" s="104"/>
      <c r="N281" s="104"/>
      <c r="O281" s="104"/>
      <c r="P281" s="104">
        <f t="shared" si="287"/>
        <v>80000</v>
      </c>
      <c r="Q281" s="104">
        <f t="shared" si="288"/>
        <v>80000</v>
      </c>
      <c r="R281" s="104">
        <f t="shared" si="289"/>
        <v>80000</v>
      </c>
      <c r="S281" s="104"/>
      <c r="T281" s="104"/>
      <c r="U281" s="104"/>
      <c r="V281" s="104">
        <f t="shared" si="296"/>
        <v>80000</v>
      </c>
      <c r="W281" s="104">
        <f t="shared" si="297"/>
        <v>80000</v>
      </c>
      <c r="X281" s="104">
        <f t="shared" si="298"/>
        <v>80000</v>
      </c>
    </row>
    <row r="282" spans="1:24" ht="25.5">
      <c r="A282" s="2" t="s">
        <v>377</v>
      </c>
      <c r="B282" s="65" t="s">
        <v>41</v>
      </c>
      <c r="C282" s="65" t="s">
        <v>2</v>
      </c>
      <c r="D282" s="65" t="s">
        <v>2</v>
      </c>
      <c r="E282" s="65" t="s">
        <v>20</v>
      </c>
      <c r="F282" s="59" t="s">
        <v>67</v>
      </c>
      <c r="G282" s="65" t="s">
        <v>148</v>
      </c>
      <c r="H282" s="59" t="s">
        <v>226</v>
      </c>
      <c r="I282" s="116"/>
      <c r="J282" s="104">
        <f>J283</f>
        <v>300000</v>
      </c>
      <c r="K282" s="104">
        <f t="shared" ref="K282:O283" si="310">K283</f>
        <v>300000</v>
      </c>
      <c r="L282" s="104">
        <f t="shared" si="310"/>
        <v>300000</v>
      </c>
      <c r="M282" s="104">
        <f t="shared" si="310"/>
        <v>0</v>
      </c>
      <c r="N282" s="104">
        <f t="shared" si="310"/>
        <v>0</v>
      </c>
      <c r="O282" s="104">
        <f t="shared" si="310"/>
        <v>0</v>
      </c>
      <c r="P282" s="104">
        <f t="shared" si="287"/>
        <v>300000</v>
      </c>
      <c r="Q282" s="104">
        <f t="shared" si="288"/>
        <v>300000</v>
      </c>
      <c r="R282" s="104">
        <f t="shared" si="289"/>
        <v>300000</v>
      </c>
      <c r="S282" s="104">
        <f t="shared" ref="S282:U283" si="311">S283</f>
        <v>0</v>
      </c>
      <c r="T282" s="104">
        <f t="shared" si="311"/>
        <v>0</v>
      </c>
      <c r="U282" s="104">
        <f t="shared" si="311"/>
        <v>0</v>
      </c>
      <c r="V282" s="104">
        <f t="shared" si="296"/>
        <v>300000</v>
      </c>
      <c r="W282" s="104">
        <f t="shared" si="297"/>
        <v>300000</v>
      </c>
      <c r="X282" s="104">
        <f t="shared" si="298"/>
        <v>300000</v>
      </c>
    </row>
    <row r="283" spans="1:24" ht="25.5">
      <c r="A283" s="7" t="s">
        <v>72</v>
      </c>
      <c r="B283" s="65" t="s">
        <v>41</v>
      </c>
      <c r="C283" s="65" t="s">
        <v>2</v>
      </c>
      <c r="D283" s="65" t="s">
        <v>2</v>
      </c>
      <c r="E283" s="65" t="s">
        <v>20</v>
      </c>
      <c r="F283" s="59" t="s">
        <v>67</v>
      </c>
      <c r="G283" s="65" t="s">
        <v>148</v>
      </c>
      <c r="H283" s="59" t="s">
        <v>226</v>
      </c>
      <c r="I283" s="116" t="s">
        <v>71</v>
      </c>
      <c r="J283" s="104">
        <f>J284</f>
        <v>300000</v>
      </c>
      <c r="K283" s="104">
        <f t="shared" si="310"/>
        <v>300000</v>
      </c>
      <c r="L283" s="104">
        <f t="shared" si="310"/>
        <v>300000</v>
      </c>
      <c r="M283" s="104">
        <f t="shared" si="310"/>
        <v>0</v>
      </c>
      <c r="N283" s="104">
        <f t="shared" si="310"/>
        <v>0</v>
      </c>
      <c r="O283" s="104">
        <f t="shared" si="310"/>
        <v>0</v>
      </c>
      <c r="P283" s="104">
        <f t="shared" si="287"/>
        <v>300000</v>
      </c>
      <c r="Q283" s="104">
        <f t="shared" si="288"/>
        <v>300000</v>
      </c>
      <c r="R283" s="104">
        <f t="shared" si="289"/>
        <v>300000</v>
      </c>
      <c r="S283" s="104">
        <f t="shared" si="311"/>
        <v>0</v>
      </c>
      <c r="T283" s="104">
        <f t="shared" si="311"/>
        <v>0</v>
      </c>
      <c r="U283" s="104">
        <f t="shared" si="311"/>
        <v>0</v>
      </c>
      <c r="V283" s="104">
        <f t="shared" si="296"/>
        <v>300000</v>
      </c>
      <c r="W283" s="104">
        <f t="shared" si="297"/>
        <v>300000</v>
      </c>
      <c r="X283" s="104">
        <f t="shared" si="298"/>
        <v>300000</v>
      </c>
    </row>
    <row r="284" spans="1:24">
      <c r="A284" s="11" t="s">
        <v>75</v>
      </c>
      <c r="B284" s="65" t="s">
        <v>41</v>
      </c>
      <c r="C284" s="65" t="s">
        <v>2</v>
      </c>
      <c r="D284" s="65" t="s">
        <v>2</v>
      </c>
      <c r="E284" s="65" t="s">
        <v>20</v>
      </c>
      <c r="F284" s="59" t="s">
        <v>67</v>
      </c>
      <c r="G284" s="65" t="s">
        <v>148</v>
      </c>
      <c r="H284" s="59" t="s">
        <v>226</v>
      </c>
      <c r="I284" s="116" t="s">
        <v>74</v>
      </c>
      <c r="J284" s="104">
        <v>300000</v>
      </c>
      <c r="K284" s="104">
        <v>300000</v>
      </c>
      <c r="L284" s="104">
        <v>300000</v>
      </c>
      <c r="M284" s="104"/>
      <c r="N284" s="104"/>
      <c r="O284" s="104"/>
      <c r="P284" s="104">
        <f t="shared" si="287"/>
        <v>300000</v>
      </c>
      <c r="Q284" s="104">
        <f t="shared" si="288"/>
        <v>300000</v>
      </c>
      <c r="R284" s="104">
        <f t="shared" si="289"/>
        <v>300000</v>
      </c>
      <c r="S284" s="104"/>
      <c r="T284" s="104"/>
      <c r="U284" s="104"/>
      <c r="V284" s="104">
        <f t="shared" si="296"/>
        <v>300000</v>
      </c>
      <c r="W284" s="104">
        <f t="shared" si="297"/>
        <v>300000</v>
      </c>
      <c r="X284" s="104">
        <f t="shared" si="298"/>
        <v>300000</v>
      </c>
    </row>
    <row r="285" spans="1:24" ht="38.25">
      <c r="A285" s="2" t="s">
        <v>397</v>
      </c>
      <c r="B285" s="65" t="s">
        <v>41</v>
      </c>
      <c r="C285" s="65" t="s">
        <v>2</v>
      </c>
      <c r="D285" s="65" t="s">
        <v>2</v>
      </c>
      <c r="E285" s="65" t="s">
        <v>20</v>
      </c>
      <c r="F285" s="59" t="s">
        <v>67</v>
      </c>
      <c r="G285" s="65" t="s">
        <v>148</v>
      </c>
      <c r="H285" s="65" t="s">
        <v>167</v>
      </c>
      <c r="I285" s="92"/>
      <c r="J285" s="104">
        <f>J286</f>
        <v>1671088.37</v>
      </c>
      <c r="K285" s="104">
        <f t="shared" ref="K285:O286" si="312">K286</f>
        <v>1664911.62</v>
      </c>
      <c r="L285" s="104">
        <f t="shared" si="312"/>
        <v>1731510.89</v>
      </c>
      <c r="M285" s="104">
        <f t="shared" si="312"/>
        <v>0</v>
      </c>
      <c r="N285" s="104">
        <f t="shared" si="312"/>
        <v>0</v>
      </c>
      <c r="O285" s="104">
        <f t="shared" si="312"/>
        <v>0</v>
      </c>
      <c r="P285" s="104">
        <f t="shared" si="287"/>
        <v>1671088.37</v>
      </c>
      <c r="Q285" s="104">
        <f t="shared" si="288"/>
        <v>1664911.62</v>
      </c>
      <c r="R285" s="104">
        <f t="shared" si="289"/>
        <v>1731510.89</v>
      </c>
      <c r="S285" s="104">
        <f t="shared" ref="S285:U286" si="313">S286</f>
        <v>0</v>
      </c>
      <c r="T285" s="104">
        <f t="shared" si="313"/>
        <v>0</v>
      </c>
      <c r="U285" s="104">
        <f t="shared" si="313"/>
        <v>0</v>
      </c>
      <c r="V285" s="104">
        <f t="shared" si="296"/>
        <v>1671088.37</v>
      </c>
      <c r="W285" s="104">
        <f t="shared" si="297"/>
        <v>1664911.62</v>
      </c>
      <c r="X285" s="104">
        <f t="shared" si="298"/>
        <v>1731510.89</v>
      </c>
    </row>
    <row r="286" spans="1:24" ht="25.5">
      <c r="A286" s="7" t="s">
        <v>72</v>
      </c>
      <c r="B286" s="65" t="s">
        <v>41</v>
      </c>
      <c r="C286" s="65" t="s">
        <v>2</v>
      </c>
      <c r="D286" s="65" t="s">
        <v>2</v>
      </c>
      <c r="E286" s="65" t="s">
        <v>20</v>
      </c>
      <c r="F286" s="59" t="s">
        <v>67</v>
      </c>
      <c r="G286" s="65" t="s">
        <v>148</v>
      </c>
      <c r="H286" s="65" t="s">
        <v>167</v>
      </c>
      <c r="I286" s="92" t="s">
        <v>71</v>
      </c>
      <c r="J286" s="104">
        <f>J287</f>
        <v>1671088.37</v>
      </c>
      <c r="K286" s="104">
        <f t="shared" si="312"/>
        <v>1664911.62</v>
      </c>
      <c r="L286" s="104">
        <f t="shared" si="312"/>
        <v>1731510.89</v>
      </c>
      <c r="M286" s="104">
        <f t="shared" si="312"/>
        <v>0</v>
      </c>
      <c r="N286" s="104">
        <f t="shared" si="312"/>
        <v>0</v>
      </c>
      <c r="O286" s="104">
        <f t="shared" si="312"/>
        <v>0</v>
      </c>
      <c r="P286" s="104">
        <f t="shared" si="287"/>
        <v>1671088.37</v>
      </c>
      <c r="Q286" s="104">
        <f t="shared" si="288"/>
        <v>1664911.62</v>
      </c>
      <c r="R286" s="104">
        <f t="shared" si="289"/>
        <v>1731510.89</v>
      </c>
      <c r="S286" s="104">
        <f t="shared" si="313"/>
        <v>0</v>
      </c>
      <c r="T286" s="104">
        <f t="shared" si="313"/>
        <v>0</v>
      </c>
      <c r="U286" s="104">
        <f t="shared" si="313"/>
        <v>0</v>
      </c>
      <c r="V286" s="104">
        <f t="shared" si="296"/>
        <v>1671088.37</v>
      </c>
      <c r="W286" s="104">
        <f t="shared" si="297"/>
        <v>1664911.62</v>
      </c>
      <c r="X286" s="104">
        <f t="shared" si="298"/>
        <v>1731510.89</v>
      </c>
    </row>
    <row r="287" spans="1:24">
      <c r="A287" s="11" t="s">
        <v>75</v>
      </c>
      <c r="B287" s="65" t="s">
        <v>41</v>
      </c>
      <c r="C287" s="65" t="s">
        <v>2</v>
      </c>
      <c r="D287" s="65" t="s">
        <v>2</v>
      </c>
      <c r="E287" s="65" t="s">
        <v>20</v>
      </c>
      <c r="F287" s="59" t="s">
        <v>67</v>
      </c>
      <c r="G287" s="65" t="s">
        <v>148</v>
      </c>
      <c r="H287" s="65" t="s">
        <v>167</v>
      </c>
      <c r="I287" s="92" t="s">
        <v>74</v>
      </c>
      <c r="J287" s="104">
        <v>1671088.37</v>
      </c>
      <c r="K287" s="104">
        <v>1664911.62</v>
      </c>
      <c r="L287" s="104">
        <v>1731510.89</v>
      </c>
      <c r="M287" s="104"/>
      <c r="N287" s="104"/>
      <c r="O287" s="104"/>
      <c r="P287" s="104">
        <f t="shared" si="287"/>
        <v>1671088.37</v>
      </c>
      <c r="Q287" s="104">
        <f t="shared" si="288"/>
        <v>1664911.62</v>
      </c>
      <c r="R287" s="104">
        <f t="shared" si="289"/>
        <v>1731510.89</v>
      </c>
      <c r="S287" s="104"/>
      <c r="T287" s="104"/>
      <c r="U287" s="104"/>
      <c r="V287" s="104">
        <f t="shared" si="296"/>
        <v>1671088.37</v>
      </c>
      <c r="W287" s="104">
        <f t="shared" si="297"/>
        <v>1664911.62</v>
      </c>
      <c r="X287" s="104">
        <f t="shared" si="298"/>
        <v>1731510.89</v>
      </c>
    </row>
    <row r="288" spans="1:24" ht="63.75">
      <c r="A288" s="11" t="s">
        <v>313</v>
      </c>
      <c r="B288" s="65" t="s">
        <v>41</v>
      </c>
      <c r="C288" s="65" t="s">
        <v>2</v>
      </c>
      <c r="D288" s="65" t="s">
        <v>2</v>
      </c>
      <c r="E288" s="65" t="s">
        <v>20</v>
      </c>
      <c r="F288" s="59" t="s">
        <v>67</v>
      </c>
      <c r="G288" s="65" t="s">
        <v>148</v>
      </c>
      <c r="H288" s="59" t="s">
        <v>206</v>
      </c>
      <c r="I288" s="92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>
        <f>S289</f>
        <v>70000</v>
      </c>
      <c r="T288" s="104">
        <f t="shared" ref="T288:U289" si="314">T289</f>
        <v>0</v>
      </c>
      <c r="U288" s="104">
        <f t="shared" si="314"/>
        <v>0</v>
      </c>
      <c r="V288" s="104">
        <f t="shared" ref="V288:V290" si="315">P288+S288</f>
        <v>70000</v>
      </c>
      <c r="W288" s="104">
        <f t="shared" ref="W288:W290" si="316">Q288+T288</f>
        <v>0</v>
      </c>
      <c r="X288" s="104">
        <f t="shared" ref="X288:X290" si="317">R288+U288</f>
        <v>0</v>
      </c>
    </row>
    <row r="289" spans="1:24" ht="25.5">
      <c r="A289" s="7" t="s">
        <v>72</v>
      </c>
      <c r="B289" s="65" t="s">
        <v>41</v>
      </c>
      <c r="C289" s="65" t="s">
        <v>2</v>
      </c>
      <c r="D289" s="65" t="s">
        <v>2</v>
      </c>
      <c r="E289" s="65" t="s">
        <v>20</v>
      </c>
      <c r="F289" s="59" t="s">
        <v>67</v>
      </c>
      <c r="G289" s="65" t="s">
        <v>148</v>
      </c>
      <c r="H289" s="59" t="s">
        <v>206</v>
      </c>
      <c r="I289" s="116" t="s">
        <v>71</v>
      </c>
      <c r="J289" s="104"/>
      <c r="K289" s="104"/>
      <c r="L289" s="104"/>
      <c r="M289" s="104"/>
      <c r="N289" s="104"/>
      <c r="O289" s="104"/>
      <c r="P289" s="104"/>
      <c r="Q289" s="104"/>
      <c r="R289" s="104"/>
      <c r="S289" s="104">
        <f>S290</f>
        <v>70000</v>
      </c>
      <c r="T289" s="104">
        <f t="shared" si="314"/>
        <v>0</v>
      </c>
      <c r="U289" s="104">
        <f t="shared" si="314"/>
        <v>0</v>
      </c>
      <c r="V289" s="104">
        <f t="shared" si="315"/>
        <v>70000</v>
      </c>
      <c r="W289" s="104">
        <f t="shared" si="316"/>
        <v>0</v>
      </c>
      <c r="X289" s="104">
        <f t="shared" si="317"/>
        <v>0</v>
      </c>
    </row>
    <row r="290" spans="1:24">
      <c r="A290" s="11" t="s">
        <v>75</v>
      </c>
      <c r="B290" s="65" t="s">
        <v>41</v>
      </c>
      <c r="C290" s="65" t="s">
        <v>2</v>
      </c>
      <c r="D290" s="65" t="s">
        <v>2</v>
      </c>
      <c r="E290" s="65" t="s">
        <v>20</v>
      </c>
      <c r="F290" s="59" t="s">
        <v>67</v>
      </c>
      <c r="G290" s="65" t="s">
        <v>148</v>
      </c>
      <c r="H290" s="59" t="s">
        <v>206</v>
      </c>
      <c r="I290" s="116" t="s">
        <v>74</v>
      </c>
      <c r="J290" s="104"/>
      <c r="K290" s="104"/>
      <c r="L290" s="104"/>
      <c r="M290" s="104"/>
      <c r="N290" s="104"/>
      <c r="O290" s="104"/>
      <c r="P290" s="104"/>
      <c r="Q290" s="104"/>
      <c r="R290" s="104"/>
      <c r="S290" s="104">
        <v>70000</v>
      </c>
      <c r="T290" s="104"/>
      <c r="U290" s="104"/>
      <c r="V290" s="104">
        <f t="shared" si="315"/>
        <v>70000</v>
      </c>
      <c r="W290" s="104">
        <f t="shared" si="316"/>
        <v>0</v>
      </c>
      <c r="X290" s="104">
        <f t="shared" si="317"/>
        <v>0</v>
      </c>
    </row>
    <row r="291" spans="1:24">
      <c r="A291" s="2"/>
      <c r="B291" s="40"/>
      <c r="C291" s="1"/>
      <c r="D291" s="1"/>
      <c r="E291" s="1"/>
      <c r="F291" s="1"/>
      <c r="G291" s="1"/>
      <c r="H291" s="1"/>
      <c r="I291" s="13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</row>
    <row r="292" spans="1:24">
      <c r="A292" s="4" t="s">
        <v>35</v>
      </c>
      <c r="B292" s="14" t="s">
        <v>41</v>
      </c>
      <c r="C292" s="15" t="s">
        <v>2</v>
      </c>
      <c r="D292" s="15" t="s">
        <v>14</v>
      </c>
      <c r="E292" s="15"/>
      <c r="F292" s="15"/>
      <c r="G292" s="15"/>
      <c r="H292" s="15"/>
      <c r="I292" s="26"/>
      <c r="J292" s="101">
        <f>J293+J315</f>
        <v>18453899</v>
      </c>
      <c r="K292" s="101">
        <f>K293+K315</f>
        <v>18629498.530000001</v>
      </c>
      <c r="L292" s="101">
        <f>L293+L315</f>
        <v>18706853.510000002</v>
      </c>
      <c r="M292" s="101">
        <f t="shared" ref="M292:O292" si="318">M293+M315</f>
        <v>0</v>
      </c>
      <c r="N292" s="101">
        <f t="shared" si="318"/>
        <v>0</v>
      </c>
      <c r="O292" s="101">
        <f t="shared" si="318"/>
        <v>0</v>
      </c>
      <c r="P292" s="101">
        <f t="shared" si="287"/>
        <v>18453899</v>
      </c>
      <c r="Q292" s="101">
        <f t="shared" si="288"/>
        <v>18629498.530000001</v>
      </c>
      <c r="R292" s="101">
        <f t="shared" si="289"/>
        <v>18706853.510000002</v>
      </c>
      <c r="S292" s="101">
        <f t="shared" ref="S292:U292" si="319">S293+S315</f>
        <v>60000</v>
      </c>
      <c r="T292" s="101">
        <f t="shared" si="319"/>
        <v>0</v>
      </c>
      <c r="U292" s="101">
        <f t="shared" si="319"/>
        <v>0</v>
      </c>
      <c r="V292" s="101">
        <f t="shared" ref="V292:V320" si="320">P292+S292</f>
        <v>18513899</v>
      </c>
      <c r="W292" s="101">
        <f t="shared" ref="W292:W320" si="321">Q292+T292</f>
        <v>18629498.530000001</v>
      </c>
      <c r="X292" s="101">
        <f t="shared" ref="X292:X320" si="322">R292+U292</f>
        <v>18706853.510000002</v>
      </c>
    </row>
    <row r="293" spans="1:24" ht="25.5">
      <c r="A293" s="2" t="s">
        <v>285</v>
      </c>
      <c r="B293" s="65" t="s">
        <v>41</v>
      </c>
      <c r="C293" s="1" t="s">
        <v>2</v>
      </c>
      <c r="D293" s="1" t="s">
        <v>14</v>
      </c>
      <c r="E293" s="1" t="s">
        <v>20</v>
      </c>
      <c r="F293" s="1" t="s">
        <v>70</v>
      </c>
      <c r="G293" s="1" t="s">
        <v>148</v>
      </c>
      <c r="H293" s="1" t="s">
        <v>149</v>
      </c>
      <c r="I293" s="13"/>
      <c r="J293" s="104">
        <f>J294+J304+J311</f>
        <v>255000</v>
      </c>
      <c r="K293" s="104">
        <f>K294+K304+K311</f>
        <v>255000</v>
      </c>
      <c r="L293" s="104">
        <f>L294+L304+L311</f>
        <v>255000</v>
      </c>
      <c r="M293" s="104">
        <f t="shared" ref="M293:O293" si="323">M294+M304+M311</f>
        <v>0</v>
      </c>
      <c r="N293" s="104">
        <f t="shared" si="323"/>
        <v>0</v>
      </c>
      <c r="O293" s="104">
        <f t="shared" si="323"/>
        <v>0</v>
      </c>
      <c r="P293" s="104">
        <f t="shared" si="287"/>
        <v>255000</v>
      </c>
      <c r="Q293" s="104">
        <f t="shared" si="288"/>
        <v>255000</v>
      </c>
      <c r="R293" s="104">
        <f t="shared" si="289"/>
        <v>255000</v>
      </c>
      <c r="S293" s="104">
        <f t="shared" ref="S293:U293" si="324">S294+S304+S311</f>
        <v>60000</v>
      </c>
      <c r="T293" s="104">
        <f t="shared" si="324"/>
        <v>0</v>
      </c>
      <c r="U293" s="104">
        <f t="shared" si="324"/>
        <v>0</v>
      </c>
      <c r="V293" s="104">
        <f t="shared" si="320"/>
        <v>315000</v>
      </c>
      <c r="W293" s="104">
        <f t="shared" si="321"/>
        <v>255000</v>
      </c>
      <c r="X293" s="104">
        <f t="shared" si="322"/>
        <v>255000</v>
      </c>
    </row>
    <row r="294" spans="1:24" ht="25.5">
      <c r="A294" s="2" t="s">
        <v>141</v>
      </c>
      <c r="B294" s="65" t="s">
        <v>41</v>
      </c>
      <c r="C294" s="1" t="s">
        <v>2</v>
      </c>
      <c r="D294" s="1" t="s">
        <v>14</v>
      </c>
      <c r="E294" s="1" t="s">
        <v>20</v>
      </c>
      <c r="F294" s="1" t="s">
        <v>44</v>
      </c>
      <c r="G294" s="1" t="s">
        <v>148</v>
      </c>
      <c r="H294" s="1" t="s">
        <v>149</v>
      </c>
      <c r="I294" s="13"/>
      <c r="J294" s="104">
        <f>J295</f>
        <v>100000</v>
      </c>
      <c r="K294" s="104">
        <f t="shared" ref="K294:O294" si="325">K295</f>
        <v>100000</v>
      </c>
      <c r="L294" s="104">
        <f t="shared" si="325"/>
        <v>100000</v>
      </c>
      <c r="M294" s="104">
        <f t="shared" si="325"/>
        <v>0</v>
      </c>
      <c r="N294" s="104">
        <f t="shared" si="325"/>
        <v>0</v>
      </c>
      <c r="O294" s="104">
        <f t="shared" si="325"/>
        <v>0</v>
      </c>
      <c r="P294" s="104">
        <f t="shared" si="287"/>
        <v>100000</v>
      </c>
      <c r="Q294" s="104">
        <f t="shared" si="288"/>
        <v>100000</v>
      </c>
      <c r="R294" s="104">
        <f t="shared" si="289"/>
        <v>100000</v>
      </c>
      <c r="S294" s="104">
        <f t="shared" ref="S294:U294" si="326">S295</f>
        <v>54012.9</v>
      </c>
      <c r="T294" s="104">
        <f t="shared" si="326"/>
        <v>0</v>
      </c>
      <c r="U294" s="104">
        <f t="shared" si="326"/>
        <v>0</v>
      </c>
      <c r="V294" s="104">
        <f t="shared" si="320"/>
        <v>154012.9</v>
      </c>
      <c r="W294" s="104">
        <f t="shared" si="321"/>
        <v>100000</v>
      </c>
      <c r="X294" s="104">
        <f t="shared" si="322"/>
        <v>100000</v>
      </c>
    </row>
    <row r="295" spans="1:24">
      <c r="A295" s="2" t="s">
        <v>88</v>
      </c>
      <c r="B295" s="65" t="s">
        <v>41</v>
      </c>
      <c r="C295" s="1" t="s">
        <v>2</v>
      </c>
      <c r="D295" s="1" t="s">
        <v>14</v>
      </c>
      <c r="E295" s="1" t="s">
        <v>20</v>
      </c>
      <c r="F295" s="1" t="s">
        <v>44</v>
      </c>
      <c r="G295" s="1" t="s">
        <v>148</v>
      </c>
      <c r="H295" s="1" t="s">
        <v>162</v>
      </c>
      <c r="I295" s="13"/>
      <c r="J295" s="104">
        <f>+J296+J298</f>
        <v>100000</v>
      </c>
      <c r="K295" s="104">
        <f t="shared" ref="K295:L295" si="327">+K296+K298</f>
        <v>100000</v>
      </c>
      <c r="L295" s="104">
        <f t="shared" si="327"/>
        <v>100000</v>
      </c>
      <c r="M295" s="104">
        <f t="shared" ref="M295:O295" si="328">+M296+M298</f>
        <v>0</v>
      </c>
      <c r="N295" s="104">
        <f t="shared" si="328"/>
        <v>0</v>
      </c>
      <c r="O295" s="104">
        <f t="shared" si="328"/>
        <v>0</v>
      </c>
      <c r="P295" s="104">
        <f t="shared" si="287"/>
        <v>100000</v>
      </c>
      <c r="Q295" s="104">
        <f t="shared" si="288"/>
        <v>100000</v>
      </c>
      <c r="R295" s="104">
        <f t="shared" si="289"/>
        <v>100000</v>
      </c>
      <c r="S295" s="104">
        <f>+S296+S298+S301</f>
        <v>54012.9</v>
      </c>
      <c r="T295" s="104">
        <f t="shared" ref="T295:U295" si="329">+T296+T298+T301</f>
        <v>0</v>
      </c>
      <c r="U295" s="104">
        <f t="shared" si="329"/>
        <v>0</v>
      </c>
      <c r="V295" s="104">
        <f t="shared" si="320"/>
        <v>154012.9</v>
      </c>
      <c r="W295" s="104">
        <f t="shared" si="321"/>
        <v>100000</v>
      </c>
      <c r="X295" s="104">
        <f t="shared" si="322"/>
        <v>100000</v>
      </c>
    </row>
    <row r="296" spans="1:24" ht="25.5">
      <c r="A296" s="78" t="s">
        <v>260</v>
      </c>
      <c r="B296" s="65" t="s">
        <v>41</v>
      </c>
      <c r="C296" s="1" t="s">
        <v>2</v>
      </c>
      <c r="D296" s="1" t="s">
        <v>14</v>
      </c>
      <c r="E296" s="1" t="s">
        <v>20</v>
      </c>
      <c r="F296" s="1" t="s">
        <v>44</v>
      </c>
      <c r="G296" s="1" t="s">
        <v>148</v>
      </c>
      <c r="H296" s="1" t="s">
        <v>162</v>
      </c>
      <c r="I296" s="13" t="s">
        <v>94</v>
      </c>
      <c r="J296" s="104">
        <f>J297</f>
        <v>50000</v>
      </c>
      <c r="K296" s="104">
        <f t="shared" ref="K296:O296" si="330">K297</f>
        <v>50000</v>
      </c>
      <c r="L296" s="104">
        <f t="shared" si="330"/>
        <v>50000</v>
      </c>
      <c r="M296" s="104">
        <f t="shared" si="330"/>
        <v>0</v>
      </c>
      <c r="N296" s="104">
        <f t="shared" si="330"/>
        <v>0</v>
      </c>
      <c r="O296" s="104">
        <f t="shared" si="330"/>
        <v>0</v>
      </c>
      <c r="P296" s="104">
        <f t="shared" si="287"/>
        <v>50000</v>
      </c>
      <c r="Q296" s="104">
        <f t="shared" si="288"/>
        <v>50000</v>
      </c>
      <c r="R296" s="104">
        <f t="shared" si="289"/>
        <v>50000</v>
      </c>
      <c r="S296" s="104">
        <f t="shared" ref="S296:U296" si="331">S297</f>
        <v>-5987.1</v>
      </c>
      <c r="T296" s="104">
        <f t="shared" si="331"/>
        <v>0</v>
      </c>
      <c r="U296" s="104">
        <f t="shared" si="331"/>
        <v>0</v>
      </c>
      <c r="V296" s="104">
        <f t="shared" si="320"/>
        <v>44012.9</v>
      </c>
      <c r="W296" s="104">
        <f t="shared" si="321"/>
        <v>50000</v>
      </c>
      <c r="X296" s="104">
        <f t="shared" si="322"/>
        <v>50000</v>
      </c>
    </row>
    <row r="297" spans="1:24" ht="25.5">
      <c r="A297" s="77" t="s">
        <v>98</v>
      </c>
      <c r="B297" s="65" t="s">
        <v>41</v>
      </c>
      <c r="C297" s="1" t="s">
        <v>2</v>
      </c>
      <c r="D297" s="1" t="s">
        <v>14</v>
      </c>
      <c r="E297" s="1" t="s">
        <v>20</v>
      </c>
      <c r="F297" s="1" t="s">
        <v>44</v>
      </c>
      <c r="G297" s="1" t="s">
        <v>148</v>
      </c>
      <c r="H297" s="1" t="s">
        <v>162</v>
      </c>
      <c r="I297" s="13" t="s">
        <v>95</v>
      </c>
      <c r="J297" s="104">
        <v>50000</v>
      </c>
      <c r="K297" s="104">
        <v>50000</v>
      </c>
      <c r="L297" s="104">
        <v>50000</v>
      </c>
      <c r="M297" s="104"/>
      <c r="N297" s="104"/>
      <c r="O297" s="104"/>
      <c r="P297" s="104">
        <f t="shared" si="287"/>
        <v>50000</v>
      </c>
      <c r="Q297" s="104">
        <f t="shared" si="288"/>
        <v>50000</v>
      </c>
      <c r="R297" s="104">
        <f t="shared" si="289"/>
        <v>50000</v>
      </c>
      <c r="S297" s="104">
        <v>-5987.1</v>
      </c>
      <c r="T297" s="104"/>
      <c r="U297" s="104"/>
      <c r="V297" s="104">
        <f t="shared" si="320"/>
        <v>44012.9</v>
      </c>
      <c r="W297" s="104">
        <f t="shared" si="321"/>
        <v>50000</v>
      </c>
      <c r="X297" s="104">
        <f t="shared" si="322"/>
        <v>50000</v>
      </c>
    </row>
    <row r="298" spans="1:24">
      <c r="A298" s="9" t="s">
        <v>100</v>
      </c>
      <c r="B298" s="65" t="s">
        <v>41</v>
      </c>
      <c r="C298" s="1" t="s">
        <v>2</v>
      </c>
      <c r="D298" s="1" t="s">
        <v>14</v>
      </c>
      <c r="E298" s="1" t="s">
        <v>20</v>
      </c>
      <c r="F298" s="1" t="s">
        <v>44</v>
      </c>
      <c r="G298" s="1" t="s">
        <v>148</v>
      </c>
      <c r="H298" s="1" t="s">
        <v>162</v>
      </c>
      <c r="I298" s="13" t="s">
        <v>99</v>
      </c>
      <c r="J298" s="104">
        <f>+J299+J300</f>
        <v>50000</v>
      </c>
      <c r="K298" s="104">
        <f t="shared" ref="K298:O298" si="332">+K299+K300</f>
        <v>50000</v>
      </c>
      <c r="L298" s="104">
        <f t="shared" si="332"/>
        <v>50000</v>
      </c>
      <c r="M298" s="104">
        <f t="shared" si="332"/>
        <v>0</v>
      </c>
      <c r="N298" s="104">
        <f t="shared" si="332"/>
        <v>0</v>
      </c>
      <c r="O298" s="104">
        <f t="shared" si="332"/>
        <v>0</v>
      </c>
      <c r="P298" s="104">
        <f t="shared" si="287"/>
        <v>50000</v>
      </c>
      <c r="Q298" s="104">
        <f t="shared" si="288"/>
        <v>50000</v>
      </c>
      <c r="R298" s="104">
        <f t="shared" si="289"/>
        <v>50000</v>
      </c>
      <c r="S298" s="104">
        <f t="shared" ref="S298:U298" si="333">+S299+S300</f>
        <v>0</v>
      </c>
      <c r="T298" s="104">
        <f t="shared" si="333"/>
        <v>0</v>
      </c>
      <c r="U298" s="104">
        <f t="shared" si="333"/>
        <v>0</v>
      </c>
      <c r="V298" s="104">
        <f t="shared" si="320"/>
        <v>50000</v>
      </c>
      <c r="W298" s="104">
        <f t="shared" si="321"/>
        <v>50000</v>
      </c>
      <c r="X298" s="104">
        <f t="shared" si="322"/>
        <v>50000</v>
      </c>
    </row>
    <row r="299" spans="1:24">
      <c r="A299" s="58" t="s">
        <v>223</v>
      </c>
      <c r="B299" s="65" t="s">
        <v>41</v>
      </c>
      <c r="C299" s="1" t="s">
        <v>2</v>
      </c>
      <c r="D299" s="1" t="s">
        <v>14</v>
      </c>
      <c r="E299" s="1" t="s">
        <v>20</v>
      </c>
      <c r="F299" s="1" t="s">
        <v>44</v>
      </c>
      <c r="G299" s="1" t="s">
        <v>148</v>
      </c>
      <c r="H299" s="1" t="s">
        <v>162</v>
      </c>
      <c r="I299" s="13" t="s">
        <v>222</v>
      </c>
      <c r="J299" s="104">
        <v>9200</v>
      </c>
      <c r="K299" s="104">
        <v>9200</v>
      </c>
      <c r="L299" s="104">
        <v>9200</v>
      </c>
      <c r="M299" s="104"/>
      <c r="N299" s="104"/>
      <c r="O299" s="104"/>
      <c r="P299" s="104">
        <f t="shared" si="287"/>
        <v>9200</v>
      </c>
      <c r="Q299" s="104">
        <f t="shared" si="288"/>
        <v>9200</v>
      </c>
      <c r="R299" s="104">
        <f t="shared" si="289"/>
        <v>9200</v>
      </c>
      <c r="S299" s="104"/>
      <c r="T299" s="104"/>
      <c r="U299" s="104"/>
      <c r="V299" s="104">
        <f t="shared" si="320"/>
        <v>9200</v>
      </c>
      <c r="W299" s="104">
        <f t="shared" si="321"/>
        <v>9200</v>
      </c>
      <c r="X299" s="104">
        <f t="shared" si="322"/>
        <v>9200</v>
      </c>
    </row>
    <row r="300" spans="1:24">
      <c r="A300" s="77" t="s">
        <v>117</v>
      </c>
      <c r="B300" s="65" t="s">
        <v>41</v>
      </c>
      <c r="C300" s="1" t="s">
        <v>2</v>
      </c>
      <c r="D300" s="1" t="s">
        <v>14</v>
      </c>
      <c r="E300" s="1" t="s">
        <v>20</v>
      </c>
      <c r="F300" s="1" t="s">
        <v>44</v>
      </c>
      <c r="G300" s="1" t="s">
        <v>148</v>
      </c>
      <c r="H300" s="1" t="s">
        <v>162</v>
      </c>
      <c r="I300" s="13" t="s">
        <v>116</v>
      </c>
      <c r="J300" s="104">
        <v>40800</v>
      </c>
      <c r="K300" s="104">
        <v>40800</v>
      </c>
      <c r="L300" s="104">
        <v>40800</v>
      </c>
      <c r="M300" s="104"/>
      <c r="N300" s="104"/>
      <c r="O300" s="104"/>
      <c r="P300" s="104">
        <f t="shared" si="287"/>
        <v>40800</v>
      </c>
      <c r="Q300" s="104">
        <f t="shared" si="288"/>
        <v>40800</v>
      </c>
      <c r="R300" s="104">
        <f t="shared" si="289"/>
        <v>40800</v>
      </c>
      <c r="S300" s="104"/>
      <c r="T300" s="104"/>
      <c r="U300" s="104"/>
      <c r="V300" s="104">
        <f t="shared" si="320"/>
        <v>40800</v>
      </c>
      <c r="W300" s="104">
        <f t="shared" si="321"/>
        <v>40800</v>
      </c>
      <c r="X300" s="104">
        <f t="shared" si="322"/>
        <v>40800</v>
      </c>
    </row>
    <row r="301" spans="1:24">
      <c r="A301" s="77" t="s">
        <v>240</v>
      </c>
      <c r="B301" s="65" t="s">
        <v>41</v>
      </c>
      <c r="C301" s="1" t="s">
        <v>2</v>
      </c>
      <c r="D301" s="1" t="s">
        <v>14</v>
      </c>
      <c r="E301" s="1" t="s">
        <v>20</v>
      </c>
      <c r="F301" s="1" t="s">
        <v>44</v>
      </c>
      <c r="G301" s="1" t="s">
        <v>148</v>
      </c>
      <c r="H301" s="1" t="s">
        <v>241</v>
      </c>
      <c r="I301" s="13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>
        <f>S302</f>
        <v>60000</v>
      </c>
      <c r="T301" s="104">
        <f t="shared" ref="T301:U302" si="334">T302</f>
        <v>0</v>
      </c>
      <c r="U301" s="104">
        <f t="shared" si="334"/>
        <v>0</v>
      </c>
      <c r="V301" s="104">
        <f t="shared" ref="V301:V303" si="335">P301+S301</f>
        <v>60000</v>
      </c>
      <c r="W301" s="104">
        <f t="shared" ref="W301:W303" si="336">Q301+T301</f>
        <v>0</v>
      </c>
      <c r="X301" s="104">
        <f t="shared" ref="X301:X303" si="337">R301+U301</f>
        <v>0</v>
      </c>
    </row>
    <row r="302" spans="1:24" ht="25.5">
      <c r="A302" s="78" t="s">
        <v>260</v>
      </c>
      <c r="B302" s="65" t="s">
        <v>41</v>
      </c>
      <c r="C302" s="1" t="s">
        <v>2</v>
      </c>
      <c r="D302" s="1" t="s">
        <v>14</v>
      </c>
      <c r="E302" s="1" t="s">
        <v>20</v>
      </c>
      <c r="F302" s="1" t="s">
        <v>44</v>
      </c>
      <c r="G302" s="1" t="s">
        <v>148</v>
      </c>
      <c r="H302" s="1" t="s">
        <v>241</v>
      </c>
      <c r="I302" s="13" t="s">
        <v>94</v>
      </c>
      <c r="J302" s="104"/>
      <c r="K302" s="104"/>
      <c r="L302" s="104"/>
      <c r="M302" s="104"/>
      <c r="N302" s="104"/>
      <c r="O302" s="104"/>
      <c r="P302" s="104"/>
      <c r="Q302" s="104"/>
      <c r="R302" s="104"/>
      <c r="S302" s="104">
        <f>S303</f>
        <v>60000</v>
      </c>
      <c r="T302" s="104">
        <f t="shared" si="334"/>
        <v>0</v>
      </c>
      <c r="U302" s="104">
        <f t="shared" si="334"/>
        <v>0</v>
      </c>
      <c r="V302" s="104">
        <f t="shared" si="335"/>
        <v>60000</v>
      </c>
      <c r="W302" s="104">
        <f t="shared" si="336"/>
        <v>0</v>
      </c>
      <c r="X302" s="104">
        <f t="shared" si="337"/>
        <v>0</v>
      </c>
    </row>
    <row r="303" spans="1:24" ht="25.5">
      <c r="A303" s="77" t="s">
        <v>98</v>
      </c>
      <c r="B303" s="65" t="s">
        <v>41</v>
      </c>
      <c r="C303" s="1" t="s">
        <v>2</v>
      </c>
      <c r="D303" s="1" t="s">
        <v>14</v>
      </c>
      <c r="E303" s="1" t="s">
        <v>20</v>
      </c>
      <c r="F303" s="1" t="s">
        <v>44</v>
      </c>
      <c r="G303" s="1" t="s">
        <v>148</v>
      </c>
      <c r="H303" s="1" t="s">
        <v>241</v>
      </c>
      <c r="I303" s="13" t="s">
        <v>95</v>
      </c>
      <c r="J303" s="104"/>
      <c r="K303" s="104"/>
      <c r="L303" s="104"/>
      <c r="M303" s="104"/>
      <c r="N303" s="104"/>
      <c r="O303" s="104"/>
      <c r="P303" s="104"/>
      <c r="Q303" s="104"/>
      <c r="R303" s="104"/>
      <c r="S303" s="104">
        <v>60000</v>
      </c>
      <c r="T303" s="104"/>
      <c r="U303" s="104"/>
      <c r="V303" s="104">
        <f t="shared" si="335"/>
        <v>60000</v>
      </c>
      <c r="W303" s="104">
        <f t="shared" si="336"/>
        <v>0</v>
      </c>
      <c r="X303" s="104">
        <f t="shared" si="337"/>
        <v>0</v>
      </c>
    </row>
    <row r="304" spans="1:24" ht="25.5">
      <c r="A304" s="2" t="s">
        <v>146</v>
      </c>
      <c r="B304" s="65" t="s">
        <v>41</v>
      </c>
      <c r="C304" s="1" t="s">
        <v>2</v>
      </c>
      <c r="D304" s="1" t="s">
        <v>14</v>
      </c>
      <c r="E304" s="1" t="s">
        <v>20</v>
      </c>
      <c r="F304" s="1" t="s">
        <v>114</v>
      </c>
      <c r="G304" s="1" t="s">
        <v>148</v>
      </c>
      <c r="H304" s="1" t="s">
        <v>149</v>
      </c>
      <c r="I304" s="13"/>
      <c r="J304" s="104">
        <f>J305</f>
        <v>135000</v>
      </c>
      <c r="K304" s="104">
        <f t="shared" ref="K304:O304" si="338">K305</f>
        <v>135000</v>
      </c>
      <c r="L304" s="104">
        <f t="shared" si="338"/>
        <v>135000</v>
      </c>
      <c r="M304" s="104">
        <f t="shared" si="338"/>
        <v>0</v>
      </c>
      <c r="N304" s="104">
        <f t="shared" si="338"/>
        <v>0</v>
      </c>
      <c r="O304" s="104">
        <f t="shared" si="338"/>
        <v>0</v>
      </c>
      <c r="P304" s="104">
        <f t="shared" si="287"/>
        <v>135000</v>
      </c>
      <c r="Q304" s="104">
        <f t="shared" si="288"/>
        <v>135000</v>
      </c>
      <c r="R304" s="104">
        <f t="shared" si="289"/>
        <v>135000</v>
      </c>
      <c r="S304" s="104">
        <f t="shared" ref="S304:U304" si="339">S305</f>
        <v>5987.1</v>
      </c>
      <c r="T304" s="104">
        <f t="shared" si="339"/>
        <v>0</v>
      </c>
      <c r="U304" s="104">
        <f t="shared" si="339"/>
        <v>0</v>
      </c>
      <c r="V304" s="104">
        <f t="shared" si="320"/>
        <v>140987.1</v>
      </c>
      <c r="W304" s="104">
        <f t="shared" si="321"/>
        <v>135000</v>
      </c>
      <c r="X304" s="104">
        <f t="shared" si="322"/>
        <v>135000</v>
      </c>
    </row>
    <row r="305" spans="1:24">
      <c r="A305" s="2" t="s">
        <v>88</v>
      </c>
      <c r="B305" s="65" t="s">
        <v>41</v>
      </c>
      <c r="C305" s="1" t="s">
        <v>2</v>
      </c>
      <c r="D305" s="1" t="s">
        <v>14</v>
      </c>
      <c r="E305" s="1" t="s">
        <v>20</v>
      </c>
      <c r="F305" s="1" t="s">
        <v>114</v>
      </c>
      <c r="G305" s="1" t="s">
        <v>148</v>
      </c>
      <c r="H305" s="1" t="s">
        <v>162</v>
      </c>
      <c r="I305" s="13"/>
      <c r="J305" s="104">
        <f>J306+J308</f>
        <v>135000</v>
      </c>
      <c r="K305" s="104">
        <f t="shared" ref="K305:L305" si="340">K306+K308</f>
        <v>135000</v>
      </c>
      <c r="L305" s="104">
        <f t="shared" si="340"/>
        <v>135000</v>
      </c>
      <c r="M305" s="104">
        <f t="shared" ref="M305:O305" si="341">M306+M308</f>
        <v>0</v>
      </c>
      <c r="N305" s="104">
        <f t="shared" si="341"/>
        <v>0</v>
      </c>
      <c r="O305" s="104">
        <f t="shared" si="341"/>
        <v>0</v>
      </c>
      <c r="P305" s="104">
        <f t="shared" si="287"/>
        <v>135000</v>
      </c>
      <c r="Q305" s="104">
        <f t="shared" si="288"/>
        <v>135000</v>
      </c>
      <c r="R305" s="104">
        <f t="shared" si="289"/>
        <v>135000</v>
      </c>
      <c r="S305" s="104">
        <f t="shared" ref="S305:U305" si="342">S306+S308</f>
        <v>5987.1</v>
      </c>
      <c r="T305" s="104">
        <f t="shared" si="342"/>
        <v>0</v>
      </c>
      <c r="U305" s="104">
        <f t="shared" si="342"/>
        <v>0</v>
      </c>
      <c r="V305" s="104">
        <f t="shared" si="320"/>
        <v>140987.1</v>
      </c>
      <c r="W305" s="104">
        <f t="shared" si="321"/>
        <v>135000</v>
      </c>
      <c r="X305" s="104">
        <f t="shared" si="322"/>
        <v>135000</v>
      </c>
    </row>
    <row r="306" spans="1:24" ht="25.5">
      <c r="A306" s="78" t="s">
        <v>260</v>
      </c>
      <c r="B306" s="65" t="s">
        <v>41</v>
      </c>
      <c r="C306" s="1" t="s">
        <v>2</v>
      </c>
      <c r="D306" s="1" t="s">
        <v>14</v>
      </c>
      <c r="E306" s="1" t="s">
        <v>20</v>
      </c>
      <c r="F306" s="1" t="s">
        <v>114</v>
      </c>
      <c r="G306" s="1" t="s">
        <v>148</v>
      </c>
      <c r="H306" s="1" t="s">
        <v>162</v>
      </c>
      <c r="I306" s="13" t="s">
        <v>94</v>
      </c>
      <c r="J306" s="104">
        <f t="shared" ref="J306:O306" si="343">J307</f>
        <v>30000</v>
      </c>
      <c r="K306" s="104">
        <f t="shared" si="343"/>
        <v>30000</v>
      </c>
      <c r="L306" s="104">
        <f t="shared" si="343"/>
        <v>30000</v>
      </c>
      <c r="M306" s="104">
        <f t="shared" si="343"/>
        <v>0</v>
      </c>
      <c r="N306" s="104">
        <f t="shared" si="343"/>
        <v>0</v>
      </c>
      <c r="O306" s="104">
        <f t="shared" si="343"/>
        <v>0</v>
      </c>
      <c r="P306" s="104">
        <f t="shared" si="287"/>
        <v>30000</v>
      </c>
      <c r="Q306" s="104">
        <f t="shared" si="288"/>
        <v>30000</v>
      </c>
      <c r="R306" s="104">
        <f t="shared" si="289"/>
        <v>30000</v>
      </c>
      <c r="S306" s="104">
        <f t="shared" ref="S306:U306" si="344">S307</f>
        <v>987.1</v>
      </c>
      <c r="T306" s="104">
        <f t="shared" si="344"/>
        <v>0</v>
      </c>
      <c r="U306" s="104">
        <f t="shared" si="344"/>
        <v>0</v>
      </c>
      <c r="V306" s="104">
        <f t="shared" si="320"/>
        <v>30987.1</v>
      </c>
      <c r="W306" s="104">
        <f t="shared" si="321"/>
        <v>30000</v>
      </c>
      <c r="X306" s="104">
        <f t="shared" si="322"/>
        <v>30000</v>
      </c>
    </row>
    <row r="307" spans="1:24" ht="25.5">
      <c r="A307" s="77" t="s">
        <v>98</v>
      </c>
      <c r="B307" s="65" t="s">
        <v>41</v>
      </c>
      <c r="C307" s="1" t="s">
        <v>2</v>
      </c>
      <c r="D307" s="1" t="s">
        <v>14</v>
      </c>
      <c r="E307" s="1" t="s">
        <v>20</v>
      </c>
      <c r="F307" s="1" t="s">
        <v>114</v>
      </c>
      <c r="G307" s="1" t="s">
        <v>148</v>
      </c>
      <c r="H307" s="1" t="s">
        <v>162</v>
      </c>
      <c r="I307" s="13" t="s">
        <v>95</v>
      </c>
      <c r="J307" s="104">
        <v>30000</v>
      </c>
      <c r="K307" s="104">
        <v>30000</v>
      </c>
      <c r="L307" s="104">
        <v>30000</v>
      </c>
      <c r="M307" s="104"/>
      <c r="N307" s="104"/>
      <c r="O307" s="104"/>
      <c r="P307" s="104">
        <f t="shared" si="287"/>
        <v>30000</v>
      </c>
      <c r="Q307" s="104">
        <f t="shared" si="288"/>
        <v>30000</v>
      </c>
      <c r="R307" s="104">
        <f t="shared" si="289"/>
        <v>30000</v>
      </c>
      <c r="S307" s="104">
        <v>987.1</v>
      </c>
      <c r="T307" s="104"/>
      <c r="U307" s="104"/>
      <c r="V307" s="104">
        <f t="shared" si="320"/>
        <v>30987.1</v>
      </c>
      <c r="W307" s="104">
        <f t="shared" si="321"/>
        <v>30000</v>
      </c>
      <c r="X307" s="104">
        <f t="shared" si="322"/>
        <v>30000</v>
      </c>
    </row>
    <row r="308" spans="1:24">
      <c r="A308" s="9" t="s">
        <v>100</v>
      </c>
      <c r="B308" s="65" t="s">
        <v>41</v>
      </c>
      <c r="C308" s="1" t="s">
        <v>2</v>
      </c>
      <c r="D308" s="1" t="s">
        <v>14</v>
      </c>
      <c r="E308" s="1" t="s">
        <v>20</v>
      </c>
      <c r="F308" s="1" t="s">
        <v>114</v>
      </c>
      <c r="G308" s="1" t="s">
        <v>148</v>
      </c>
      <c r="H308" s="1" t="s">
        <v>162</v>
      </c>
      <c r="I308" s="13" t="s">
        <v>99</v>
      </c>
      <c r="J308" s="104">
        <f>J309+J310</f>
        <v>105000</v>
      </c>
      <c r="K308" s="104">
        <f t="shared" ref="K308:O308" si="345">K309+K310</f>
        <v>105000</v>
      </c>
      <c r="L308" s="104">
        <f t="shared" si="345"/>
        <v>105000</v>
      </c>
      <c r="M308" s="104">
        <f t="shared" si="345"/>
        <v>0</v>
      </c>
      <c r="N308" s="104">
        <f t="shared" si="345"/>
        <v>0</v>
      </c>
      <c r="O308" s="104">
        <f t="shared" si="345"/>
        <v>0</v>
      </c>
      <c r="P308" s="104">
        <f t="shared" si="287"/>
        <v>105000</v>
      </c>
      <c r="Q308" s="104">
        <f t="shared" si="288"/>
        <v>105000</v>
      </c>
      <c r="R308" s="104">
        <f t="shared" si="289"/>
        <v>105000</v>
      </c>
      <c r="S308" s="104">
        <f t="shared" ref="S308:U308" si="346">S309+S310</f>
        <v>5000</v>
      </c>
      <c r="T308" s="104">
        <f t="shared" si="346"/>
        <v>0</v>
      </c>
      <c r="U308" s="104">
        <f t="shared" si="346"/>
        <v>0</v>
      </c>
      <c r="V308" s="104">
        <f t="shared" si="320"/>
        <v>110000</v>
      </c>
      <c r="W308" s="104">
        <f t="shared" si="321"/>
        <v>105000</v>
      </c>
      <c r="X308" s="104">
        <f t="shared" si="322"/>
        <v>105000</v>
      </c>
    </row>
    <row r="309" spans="1:24">
      <c r="A309" s="58" t="s">
        <v>223</v>
      </c>
      <c r="B309" s="65" t="s">
        <v>41</v>
      </c>
      <c r="C309" s="1" t="s">
        <v>2</v>
      </c>
      <c r="D309" s="1" t="s">
        <v>14</v>
      </c>
      <c r="E309" s="1" t="s">
        <v>20</v>
      </c>
      <c r="F309" s="1" t="s">
        <v>114</v>
      </c>
      <c r="G309" s="1" t="s">
        <v>148</v>
      </c>
      <c r="H309" s="1" t="s">
        <v>162</v>
      </c>
      <c r="I309" s="13" t="s">
        <v>222</v>
      </c>
      <c r="J309" s="104">
        <v>25000</v>
      </c>
      <c r="K309" s="104">
        <v>25000</v>
      </c>
      <c r="L309" s="104">
        <v>25000</v>
      </c>
      <c r="M309" s="104"/>
      <c r="N309" s="104"/>
      <c r="O309" s="104"/>
      <c r="P309" s="104">
        <f t="shared" si="287"/>
        <v>25000</v>
      </c>
      <c r="Q309" s="104">
        <f t="shared" si="288"/>
        <v>25000</v>
      </c>
      <c r="R309" s="104">
        <f t="shared" si="289"/>
        <v>25000</v>
      </c>
      <c r="S309" s="104">
        <v>5000</v>
      </c>
      <c r="T309" s="104"/>
      <c r="U309" s="104"/>
      <c r="V309" s="104">
        <f t="shared" si="320"/>
        <v>30000</v>
      </c>
      <c r="W309" s="104">
        <f t="shared" si="321"/>
        <v>25000</v>
      </c>
      <c r="X309" s="104">
        <f t="shared" si="322"/>
        <v>25000</v>
      </c>
    </row>
    <row r="310" spans="1:24">
      <c r="A310" s="77" t="s">
        <v>117</v>
      </c>
      <c r="B310" s="65" t="s">
        <v>41</v>
      </c>
      <c r="C310" s="1" t="s">
        <v>2</v>
      </c>
      <c r="D310" s="1" t="s">
        <v>14</v>
      </c>
      <c r="E310" s="1" t="s">
        <v>20</v>
      </c>
      <c r="F310" s="1" t="s">
        <v>114</v>
      </c>
      <c r="G310" s="1" t="s">
        <v>148</v>
      </c>
      <c r="H310" s="1" t="s">
        <v>162</v>
      </c>
      <c r="I310" s="13" t="s">
        <v>116</v>
      </c>
      <c r="J310" s="104">
        <v>80000</v>
      </c>
      <c r="K310" s="104">
        <v>80000</v>
      </c>
      <c r="L310" s="104">
        <v>80000</v>
      </c>
      <c r="M310" s="104"/>
      <c r="N310" s="104"/>
      <c r="O310" s="104"/>
      <c r="P310" s="104">
        <f t="shared" si="287"/>
        <v>80000</v>
      </c>
      <c r="Q310" s="104">
        <f t="shared" si="288"/>
        <v>80000</v>
      </c>
      <c r="R310" s="104">
        <f t="shared" si="289"/>
        <v>80000</v>
      </c>
      <c r="S310" s="104"/>
      <c r="T310" s="104"/>
      <c r="U310" s="104"/>
      <c r="V310" s="104">
        <f t="shared" si="320"/>
        <v>80000</v>
      </c>
      <c r="W310" s="104">
        <f t="shared" si="321"/>
        <v>80000</v>
      </c>
      <c r="X310" s="104">
        <f t="shared" si="322"/>
        <v>80000</v>
      </c>
    </row>
    <row r="311" spans="1:24" ht="25.5">
      <c r="A311" s="2" t="s">
        <v>147</v>
      </c>
      <c r="B311" s="65" t="s">
        <v>41</v>
      </c>
      <c r="C311" s="1" t="s">
        <v>2</v>
      </c>
      <c r="D311" s="1" t="s">
        <v>14</v>
      </c>
      <c r="E311" s="1" t="s">
        <v>20</v>
      </c>
      <c r="F311" s="1" t="s">
        <v>67</v>
      </c>
      <c r="G311" s="1" t="s">
        <v>148</v>
      </c>
      <c r="H311" s="1" t="s">
        <v>149</v>
      </c>
      <c r="I311" s="13"/>
      <c r="J311" s="104">
        <f t="shared" ref="J311:O313" si="347">J312</f>
        <v>20000</v>
      </c>
      <c r="K311" s="104">
        <f t="shared" si="347"/>
        <v>20000</v>
      </c>
      <c r="L311" s="104">
        <f t="shared" si="347"/>
        <v>20000</v>
      </c>
      <c r="M311" s="104">
        <f t="shared" si="347"/>
        <v>0</v>
      </c>
      <c r="N311" s="104">
        <f t="shared" si="347"/>
        <v>0</v>
      </c>
      <c r="O311" s="104">
        <f t="shared" si="347"/>
        <v>0</v>
      </c>
      <c r="P311" s="104">
        <f t="shared" si="287"/>
        <v>20000</v>
      </c>
      <c r="Q311" s="104">
        <f t="shared" si="288"/>
        <v>20000</v>
      </c>
      <c r="R311" s="104">
        <f t="shared" si="289"/>
        <v>20000</v>
      </c>
      <c r="S311" s="104">
        <f t="shared" ref="S311:U313" si="348">S312</f>
        <v>0</v>
      </c>
      <c r="T311" s="104">
        <f t="shared" si="348"/>
        <v>0</v>
      </c>
      <c r="U311" s="104">
        <f t="shared" si="348"/>
        <v>0</v>
      </c>
      <c r="V311" s="104">
        <f t="shared" si="320"/>
        <v>20000</v>
      </c>
      <c r="W311" s="104">
        <f t="shared" si="321"/>
        <v>20000</v>
      </c>
      <c r="X311" s="104">
        <f t="shared" si="322"/>
        <v>20000</v>
      </c>
    </row>
    <row r="312" spans="1:24" ht="15.75" customHeight="1">
      <c r="A312" s="2" t="s">
        <v>88</v>
      </c>
      <c r="B312" s="65" t="s">
        <v>41</v>
      </c>
      <c r="C312" s="65" t="s">
        <v>2</v>
      </c>
      <c r="D312" s="65" t="s">
        <v>14</v>
      </c>
      <c r="E312" s="65" t="s">
        <v>20</v>
      </c>
      <c r="F312" s="59" t="s">
        <v>67</v>
      </c>
      <c r="G312" s="65" t="s">
        <v>148</v>
      </c>
      <c r="H312" s="65" t="s">
        <v>162</v>
      </c>
      <c r="I312" s="92"/>
      <c r="J312" s="104">
        <f t="shared" si="347"/>
        <v>20000</v>
      </c>
      <c r="K312" s="104">
        <f t="shared" si="347"/>
        <v>20000</v>
      </c>
      <c r="L312" s="104">
        <f t="shared" si="347"/>
        <v>20000</v>
      </c>
      <c r="M312" s="104">
        <f t="shared" si="347"/>
        <v>0</v>
      </c>
      <c r="N312" s="104">
        <f t="shared" si="347"/>
        <v>0</v>
      </c>
      <c r="O312" s="104">
        <f t="shared" si="347"/>
        <v>0</v>
      </c>
      <c r="P312" s="104">
        <f t="shared" si="287"/>
        <v>20000</v>
      </c>
      <c r="Q312" s="104">
        <f t="shared" si="288"/>
        <v>20000</v>
      </c>
      <c r="R312" s="104">
        <f t="shared" si="289"/>
        <v>20000</v>
      </c>
      <c r="S312" s="104">
        <f t="shared" si="348"/>
        <v>0</v>
      </c>
      <c r="T312" s="104">
        <f t="shared" si="348"/>
        <v>0</v>
      </c>
      <c r="U312" s="104">
        <f t="shared" si="348"/>
        <v>0</v>
      </c>
      <c r="V312" s="104">
        <f t="shared" si="320"/>
        <v>20000</v>
      </c>
      <c r="W312" s="104">
        <f t="shared" si="321"/>
        <v>20000</v>
      </c>
      <c r="X312" s="104">
        <f t="shared" si="322"/>
        <v>20000</v>
      </c>
    </row>
    <row r="313" spans="1:24">
      <c r="A313" s="11" t="s">
        <v>100</v>
      </c>
      <c r="B313" s="65" t="s">
        <v>41</v>
      </c>
      <c r="C313" s="65" t="s">
        <v>2</v>
      </c>
      <c r="D313" s="65" t="s">
        <v>14</v>
      </c>
      <c r="E313" s="65" t="s">
        <v>20</v>
      </c>
      <c r="F313" s="59" t="s">
        <v>67</v>
      </c>
      <c r="G313" s="65" t="s">
        <v>148</v>
      </c>
      <c r="H313" s="65" t="s">
        <v>162</v>
      </c>
      <c r="I313" s="116" t="s">
        <v>99</v>
      </c>
      <c r="J313" s="104">
        <f t="shared" si="347"/>
        <v>20000</v>
      </c>
      <c r="K313" s="104">
        <f t="shared" si="347"/>
        <v>20000</v>
      </c>
      <c r="L313" s="104">
        <f t="shared" si="347"/>
        <v>20000</v>
      </c>
      <c r="M313" s="104">
        <f t="shared" si="347"/>
        <v>0</v>
      </c>
      <c r="N313" s="104">
        <f t="shared" si="347"/>
        <v>0</v>
      </c>
      <c r="O313" s="104">
        <f t="shared" si="347"/>
        <v>0</v>
      </c>
      <c r="P313" s="104">
        <f t="shared" si="287"/>
        <v>20000</v>
      </c>
      <c r="Q313" s="104">
        <f t="shared" si="288"/>
        <v>20000</v>
      </c>
      <c r="R313" s="104">
        <f t="shared" si="289"/>
        <v>20000</v>
      </c>
      <c r="S313" s="104">
        <f t="shared" si="348"/>
        <v>0</v>
      </c>
      <c r="T313" s="104">
        <f t="shared" si="348"/>
        <v>0</v>
      </c>
      <c r="U313" s="104">
        <f t="shared" si="348"/>
        <v>0</v>
      </c>
      <c r="V313" s="104">
        <f t="shared" si="320"/>
        <v>20000</v>
      </c>
      <c r="W313" s="104">
        <f t="shared" si="321"/>
        <v>20000</v>
      </c>
      <c r="X313" s="104">
        <f t="shared" si="322"/>
        <v>20000</v>
      </c>
    </row>
    <row r="314" spans="1:24" ht="25.5">
      <c r="A314" s="72" t="s">
        <v>106</v>
      </c>
      <c r="B314" s="65" t="s">
        <v>41</v>
      </c>
      <c r="C314" s="65" t="s">
        <v>2</v>
      </c>
      <c r="D314" s="65" t="s">
        <v>14</v>
      </c>
      <c r="E314" s="65" t="s">
        <v>20</v>
      </c>
      <c r="F314" s="59" t="s">
        <v>67</v>
      </c>
      <c r="G314" s="65" t="s">
        <v>148</v>
      </c>
      <c r="H314" s="65" t="s">
        <v>162</v>
      </c>
      <c r="I314" s="116" t="s">
        <v>107</v>
      </c>
      <c r="J314" s="104">
        <v>20000</v>
      </c>
      <c r="K314" s="104">
        <v>20000</v>
      </c>
      <c r="L314" s="104">
        <v>20000</v>
      </c>
      <c r="M314" s="104"/>
      <c r="N314" s="104"/>
      <c r="O314" s="104"/>
      <c r="P314" s="104">
        <f t="shared" si="287"/>
        <v>20000</v>
      </c>
      <c r="Q314" s="104">
        <f t="shared" si="288"/>
        <v>20000</v>
      </c>
      <c r="R314" s="104">
        <f t="shared" si="289"/>
        <v>20000</v>
      </c>
      <c r="S314" s="104"/>
      <c r="T314" s="104"/>
      <c r="U314" s="104"/>
      <c r="V314" s="104">
        <f t="shared" si="320"/>
        <v>20000</v>
      </c>
      <c r="W314" s="104">
        <f t="shared" si="321"/>
        <v>20000</v>
      </c>
      <c r="X314" s="104">
        <f t="shared" si="322"/>
        <v>20000</v>
      </c>
    </row>
    <row r="315" spans="1:24">
      <c r="A315" s="7" t="s">
        <v>83</v>
      </c>
      <c r="B315" s="1" t="s">
        <v>41</v>
      </c>
      <c r="C315" s="1" t="s">
        <v>2</v>
      </c>
      <c r="D315" s="1" t="s">
        <v>14</v>
      </c>
      <c r="E315" s="1" t="s">
        <v>82</v>
      </c>
      <c r="F315" s="1" t="s">
        <v>70</v>
      </c>
      <c r="G315" s="1" t="s">
        <v>148</v>
      </c>
      <c r="H315" s="1" t="s">
        <v>149</v>
      </c>
      <c r="I315" s="13"/>
      <c r="J315" s="102">
        <f>J316</f>
        <v>18198899</v>
      </c>
      <c r="K315" s="102">
        <f t="shared" ref="K315:O315" si="349">K316</f>
        <v>18374498.530000001</v>
      </c>
      <c r="L315" s="102">
        <f t="shared" si="349"/>
        <v>18451853.510000002</v>
      </c>
      <c r="M315" s="102">
        <f t="shared" si="349"/>
        <v>0</v>
      </c>
      <c r="N315" s="102">
        <f t="shared" si="349"/>
        <v>0</v>
      </c>
      <c r="O315" s="102">
        <f t="shared" si="349"/>
        <v>0</v>
      </c>
      <c r="P315" s="102">
        <f t="shared" si="287"/>
        <v>18198899</v>
      </c>
      <c r="Q315" s="102">
        <f t="shared" si="288"/>
        <v>18374498.530000001</v>
      </c>
      <c r="R315" s="102">
        <f t="shared" si="289"/>
        <v>18451853.510000002</v>
      </c>
      <c r="S315" s="102">
        <f t="shared" ref="S315:U315" si="350">S316</f>
        <v>0</v>
      </c>
      <c r="T315" s="102">
        <f t="shared" si="350"/>
        <v>0</v>
      </c>
      <c r="U315" s="102">
        <f t="shared" si="350"/>
        <v>0</v>
      </c>
      <c r="V315" s="102">
        <f t="shared" si="320"/>
        <v>18198899</v>
      </c>
      <c r="W315" s="102">
        <f t="shared" si="321"/>
        <v>18374498.530000001</v>
      </c>
      <c r="X315" s="102">
        <f t="shared" si="322"/>
        <v>18451853.510000002</v>
      </c>
    </row>
    <row r="316" spans="1:24" ht="25.5">
      <c r="A316" s="2" t="s">
        <v>87</v>
      </c>
      <c r="B316" s="1" t="s">
        <v>41</v>
      </c>
      <c r="C316" s="1" t="s">
        <v>2</v>
      </c>
      <c r="D316" s="1" t="s">
        <v>14</v>
      </c>
      <c r="E316" s="1" t="s">
        <v>82</v>
      </c>
      <c r="F316" s="1" t="s">
        <v>70</v>
      </c>
      <c r="G316" s="1" t="s">
        <v>148</v>
      </c>
      <c r="H316" s="1" t="s">
        <v>158</v>
      </c>
      <c r="I316" s="13"/>
      <c r="J316" s="81">
        <f>J317+J319</f>
        <v>18198899</v>
      </c>
      <c r="K316" s="81">
        <f t="shared" ref="K316:L316" si="351">K317+K319</f>
        <v>18374498.530000001</v>
      </c>
      <c r="L316" s="81">
        <f t="shared" si="351"/>
        <v>18451853.510000002</v>
      </c>
      <c r="M316" s="81">
        <f t="shared" ref="M316:O316" si="352">M317+M319</f>
        <v>0</v>
      </c>
      <c r="N316" s="81">
        <f t="shared" si="352"/>
        <v>0</v>
      </c>
      <c r="O316" s="81">
        <f t="shared" si="352"/>
        <v>0</v>
      </c>
      <c r="P316" s="81">
        <f t="shared" si="287"/>
        <v>18198899</v>
      </c>
      <c r="Q316" s="81">
        <f t="shared" si="288"/>
        <v>18374498.530000001</v>
      </c>
      <c r="R316" s="81">
        <f t="shared" si="289"/>
        <v>18451853.510000002</v>
      </c>
      <c r="S316" s="81">
        <f t="shared" ref="S316:U316" si="353">S317+S319</f>
        <v>0</v>
      </c>
      <c r="T316" s="81">
        <f t="shared" si="353"/>
        <v>0</v>
      </c>
      <c r="U316" s="81">
        <f t="shared" si="353"/>
        <v>0</v>
      </c>
      <c r="V316" s="81">
        <f t="shared" si="320"/>
        <v>18198899</v>
      </c>
      <c r="W316" s="81">
        <f t="shared" si="321"/>
        <v>18374498.530000001</v>
      </c>
      <c r="X316" s="81">
        <f t="shared" si="322"/>
        <v>18451853.510000002</v>
      </c>
    </row>
    <row r="317" spans="1:24" ht="38.25">
      <c r="A317" s="77" t="s">
        <v>96</v>
      </c>
      <c r="B317" s="1" t="s">
        <v>41</v>
      </c>
      <c r="C317" s="1" t="s">
        <v>2</v>
      </c>
      <c r="D317" s="1" t="s">
        <v>14</v>
      </c>
      <c r="E317" s="1" t="s">
        <v>82</v>
      </c>
      <c r="F317" s="1" t="s">
        <v>70</v>
      </c>
      <c r="G317" s="1" t="s">
        <v>148</v>
      </c>
      <c r="H317" s="1" t="s">
        <v>158</v>
      </c>
      <c r="I317" s="13" t="s">
        <v>92</v>
      </c>
      <c r="J317" s="81">
        <f>J318</f>
        <v>17849899</v>
      </c>
      <c r="K317" s="81">
        <f t="shared" ref="K317:O317" si="354">K318</f>
        <v>18025498.530000001</v>
      </c>
      <c r="L317" s="81">
        <f t="shared" si="354"/>
        <v>18102853.510000002</v>
      </c>
      <c r="M317" s="81">
        <f t="shared" si="354"/>
        <v>0</v>
      </c>
      <c r="N317" s="81">
        <f t="shared" si="354"/>
        <v>0</v>
      </c>
      <c r="O317" s="81">
        <f t="shared" si="354"/>
        <v>0</v>
      </c>
      <c r="P317" s="81">
        <f t="shared" si="287"/>
        <v>17849899</v>
      </c>
      <c r="Q317" s="81">
        <f t="shared" si="288"/>
        <v>18025498.530000001</v>
      </c>
      <c r="R317" s="81">
        <f t="shared" si="289"/>
        <v>18102853.510000002</v>
      </c>
      <c r="S317" s="81">
        <f t="shared" ref="S317:U317" si="355">S318</f>
        <v>0</v>
      </c>
      <c r="T317" s="81">
        <f t="shared" si="355"/>
        <v>0</v>
      </c>
      <c r="U317" s="81">
        <f t="shared" si="355"/>
        <v>0</v>
      </c>
      <c r="V317" s="81">
        <f t="shared" si="320"/>
        <v>17849899</v>
      </c>
      <c r="W317" s="81">
        <f t="shared" si="321"/>
        <v>18025498.530000001</v>
      </c>
      <c r="X317" s="81">
        <f t="shared" si="322"/>
        <v>18102853.510000002</v>
      </c>
    </row>
    <row r="318" spans="1:24">
      <c r="A318" s="77" t="s">
        <v>103</v>
      </c>
      <c r="B318" s="1" t="s">
        <v>41</v>
      </c>
      <c r="C318" s="1" t="s">
        <v>2</v>
      </c>
      <c r="D318" s="1" t="s">
        <v>14</v>
      </c>
      <c r="E318" s="1" t="s">
        <v>82</v>
      </c>
      <c r="F318" s="1" t="s">
        <v>70</v>
      </c>
      <c r="G318" s="1" t="s">
        <v>148</v>
      </c>
      <c r="H318" s="1" t="s">
        <v>158</v>
      </c>
      <c r="I318" s="13" t="s">
        <v>102</v>
      </c>
      <c r="J318" s="81">
        <v>17849899</v>
      </c>
      <c r="K318" s="81">
        <v>18025498.530000001</v>
      </c>
      <c r="L318" s="81">
        <v>18102853.510000002</v>
      </c>
      <c r="M318" s="81"/>
      <c r="N318" s="81"/>
      <c r="O318" s="81"/>
      <c r="P318" s="81">
        <f t="shared" si="287"/>
        <v>17849899</v>
      </c>
      <c r="Q318" s="81">
        <f t="shared" si="288"/>
        <v>18025498.530000001</v>
      </c>
      <c r="R318" s="81">
        <f t="shared" si="289"/>
        <v>18102853.510000002</v>
      </c>
      <c r="S318" s="81"/>
      <c r="T318" s="81"/>
      <c r="U318" s="81"/>
      <c r="V318" s="81">
        <f t="shared" si="320"/>
        <v>17849899</v>
      </c>
      <c r="W318" s="81">
        <f t="shared" si="321"/>
        <v>18025498.530000001</v>
      </c>
      <c r="X318" s="81">
        <f t="shared" si="322"/>
        <v>18102853.510000002</v>
      </c>
    </row>
    <row r="319" spans="1:24" ht="25.5">
      <c r="A319" s="78" t="s">
        <v>260</v>
      </c>
      <c r="B319" s="1" t="s">
        <v>41</v>
      </c>
      <c r="C319" s="1" t="s">
        <v>2</v>
      </c>
      <c r="D319" s="1" t="s">
        <v>14</v>
      </c>
      <c r="E319" s="1" t="s">
        <v>82</v>
      </c>
      <c r="F319" s="1" t="s">
        <v>70</v>
      </c>
      <c r="G319" s="1" t="s">
        <v>148</v>
      </c>
      <c r="H319" s="1" t="s">
        <v>158</v>
      </c>
      <c r="I319" s="13" t="s">
        <v>94</v>
      </c>
      <c r="J319" s="81">
        <f>J320</f>
        <v>349000</v>
      </c>
      <c r="K319" s="81">
        <f t="shared" ref="K319:O319" si="356">K320</f>
        <v>349000</v>
      </c>
      <c r="L319" s="81">
        <f t="shared" si="356"/>
        <v>349000</v>
      </c>
      <c r="M319" s="81">
        <f t="shared" si="356"/>
        <v>0</v>
      </c>
      <c r="N319" s="81">
        <f t="shared" si="356"/>
        <v>0</v>
      </c>
      <c r="O319" s="81">
        <f t="shared" si="356"/>
        <v>0</v>
      </c>
      <c r="P319" s="81">
        <f t="shared" si="287"/>
        <v>349000</v>
      </c>
      <c r="Q319" s="81">
        <f t="shared" si="288"/>
        <v>349000</v>
      </c>
      <c r="R319" s="81">
        <f t="shared" si="289"/>
        <v>349000</v>
      </c>
      <c r="S319" s="81">
        <f t="shared" ref="S319:U319" si="357">S320</f>
        <v>0</v>
      </c>
      <c r="T319" s="81">
        <f t="shared" si="357"/>
        <v>0</v>
      </c>
      <c r="U319" s="81">
        <f t="shared" si="357"/>
        <v>0</v>
      </c>
      <c r="V319" s="81">
        <f t="shared" si="320"/>
        <v>349000</v>
      </c>
      <c r="W319" s="81">
        <f t="shared" si="321"/>
        <v>349000</v>
      </c>
      <c r="X319" s="81">
        <f t="shared" si="322"/>
        <v>349000</v>
      </c>
    </row>
    <row r="320" spans="1:24" ht="25.5">
      <c r="A320" s="77" t="s">
        <v>98</v>
      </c>
      <c r="B320" s="1" t="s">
        <v>41</v>
      </c>
      <c r="C320" s="1" t="s">
        <v>2</v>
      </c>
      <c r="D320" s="1" t="s">
        <v>14</v>
      </c>
      <c r="E320" s="1" t="s">
        <v>82</v>
      </c>
      <c r="F320" s="1" t="s">
        <v>70</v>
      </c>
      <c r="G320" s="1" t="s">
        <v>148</v>
      </c>
      <c r="H320" s="1" t="s">
        <v>158</v>
      </c>
      <c r="I320" s="13" t="s">
        <v>95</v>
      </c>
      <c r="J320" s="81">
        <v>349000</v>
      </c>
      <c r="K320" s="81">
        <v>349000</v>
      </c>
      <c r="L320" s="81">
        <v>349000</v>
      </c>
      <c r="M320" s="81"/>
      <c r="N320" s="81"/>
      <c r="O320" s="81"/>
      <c r="P320" s="81">
        <f t="shared" si="287"/>
        <v>349000</v>
      </c>
      <c r="Q320" s="81">
        <f t="shared" si="288"/>
        <v>349000</v>
      </c>
      <c r="R320" s="81">
        <f t="shared" si="289"/>
        <v>349000</v>
      </c>
      <c r="S320" s="81"/>
      <c r="T320" s="81"/>
      <c r="U320" s="81"/>
      <c r="V320" s="81">
        <f t="shared" si="320"/>
        <v>349000</v>
      </c>
      <c r="W320" s="81">
        <f t="shared" si="321"/>
        <v>349000</v>
      </c>
      <c r="X320" s="81">
        <f t="shared" si="322"/>
        <v>349000</v>
      </c>
    </row>
    <row r="321" spans="1:24">
      <c r="A321" s="2"/>
      <c r="B321" s="48"/>
      <c r="C321" s="1"/>
      <c r="D321" s="1"/>
      <c r="E321" s="1"/>
      <c r="F321" s="1"/>
      <c r="G321" s="1"/>
      <c r="H321" s="1"/>
      <c r="I321" s="13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</row>
    <row r="322" spans="1:24" ht="15.75">
      <c r="A322" s="24" t="s">
        <v>5</v>
      </c>
      <c r="B322" s="25" t="s">
        <v>41</v>
      </c>
      <c r="C322" s="29" t="s">
        <v>30</v>
      </c>
      <c r="D322" s="1"/>
      <c r="E322" s="1"/>
      <c r="F322" s="1"/>
      <c r="G322" s="1"/>
      <c r="H322" s="1"/>
      <c r="I322" s="13"/>
      <c r="J322" s="100">
        <f>J323+J343</f>
        <v>10040282.41</v>
      </c>
      <c r="K322" s="100">
        <f t="shared" ref="K322:L322" si="358">K323+K343</f>
        <v>10044104.539999999</v>
      </c>
      <c r="L322" s="100">
        <f t="shared" si="358"/>
        <v>10324469.6</v>
      </c>
      <c r="M322" s="100">
        <f t="shared" ref="M322:O322" si="359">M323+M343</f>
        <v>114018.1</v>
      </c>
      <c r="N322" s="100">
        <f t="shared" si="359"/>
        <v>-89112.14</v>
      </c>
      <c r="O322" s="100">
        <f t="shared" si="359"/>
        <v>-370390.75</v>
      </c>
      <c r="P322" s="100">
        <f t="shared" si="287"/>
        <v>10154300.51</v>
      </c>
      <c r="Q322" s="100">
        <f t="shared" si="288"/>
        <v>9954992.3999999985</v>
      </c>
      <c r="R322" s="100">
        <f t="shared" si="289"/>
        <v>9954078.8499999996</v>
      </c>
      <c r="S322" s="100">
        <f t="shared" ref="S322:U322" si="360">S323+S343</f>
        <v>317140.3</v>
      </c>
      <c r="T322" s="100">
        <f t="shared" si="360"/>
        <v>293866.65999999997</v>
      </c>
      <c r="U322" s="100">
        <f t="shared" si="360"/>
        <v>278194.39</v>
      </c>
      <c r="V322" s="100">
        <f t="shared" ref="V322:V341" si="361">P322+S322</f>
        <v>10471440.810000001</v>
      </c>
      <c r="W322" s="100">
        <f t="shared" ref="W322:W341" si="362">Q322+T322</f>
        <v>10248859.059999999</v>
      </c>
      <c r="X322" s="100">
        <f t="shared" ref="X322:X341" si="363">R322+U322</f>
        <v>10232273.24</v>
      </c>
    </row>
    <row r="323" spans="1:24">
      <c r="A323" s="18" t="s">
        <v>21</v>
      </c>
      <c r="B323" s="14" t="s">
        <v>41</v>
      </c>
      <c r="C323" s="14" t="s">
        <v>30</v>
      </c>
      <c r="D323" s="14" t="s">
        <v>16</v>
      </c>
      <c r="E323" s="14"/>
      <c r="F323" s="14"/>
      <c r="G323" s="14"/>
      <c r="H323" s="1"/>
      <c r="I323" s="13"/>
      <c r="J323" s="101">
        <f>J324</f>
        <v>7243428.5</v>
      </c>
      <c r="K323" s="101">
        <f t="shared" ref="K323:O323" si="364">K324</f>
        <v>7001349.3300000001</v>
      </c>
      <c r="L323" s="101">
        <f t="shared" si="364"/>
        <v>6894631.0600000005</v>
      </c>
      <c r="M323" s="101">
        <f t="shared" si="364"/>
        <v>89010</v>
      </c>
      <c r="N323" s="101">
        <f t="shared" si="364"/>
        <v>0</v>
      </c>
      <c r="O323" s="101">
        <f t="shared" si="364"/>
        <v>0</v>
      </c>
      <c r="P323" s="101">
        <f t="shared" si="287"/>
        <v>7332438.5</v>
      </c>
      <c r="Q323" s="101">
        <f t="shared" si="288"/>
        <v>7001349.3300000001</v>
      </c>
      <c r="R323" s="101">
        <f t="shared" si="289"/>
        <v>6894631.0600000005</v>
      </c>
      <c r="S323" s="101">
        <f t="shared" ref="S323:U323" si="365">S324</f>
        <v>317140.3</v>
      </c>
      <c r="T323" s="101">
        <f t="shared" si="365"/>
        <v>293866.65999999997</v>
      </c>
      <c r="U323" s="101">
        <f t="shared" si="365"/>
        <v>278194.39</v>
      </c>
      <c r="V323" s="101">
        <f t="shared" si="361"/>
        <v>7649578.7999999998</v>
      </c>
      <c r="W323" s="101">
        <f t="shared" si="362"/>
        <v>7295215.9900000002</v>
      </c>
      <c r="X323" s="101">
        <f t="shared" si="363"/>
        <v>7172825.4500000002</v>
      </c>
    </row>
    <row r="324" spans="1:24" ht="25.5">
      <c r="A324" s="2" t="s">
        <v>285</v>
      </c>
      <c r="B324" s="1" t="s">
        <v>41</v>
      </c>
      <c r="C324" s="1" t="s">
        <v>30</v>
      </c>
      <c r="D324" s="1" t="s">
        <v>16</v>
      </c>
      <c r="E324" s="1" t="s">
        <v>20</v>
      </c>
      <c r="F324" s="1" t="s">
        <v>70</v>
      </c>
      <c r="G324" s="1" t="s">
        <v>148</v>
      </c>
      <c r="H324" s="1" t="s">
        <v>149</v>
      </c>
      <c r="I324" s="17"/>
      <c r="J324" s="102">
        <f>J325+J332</f>
        <v>7243428.5</v>
      </c>
      <c r="K324" s="102">
        <f t="shared" ref="K324:L324" si="366">K325+K332</f>
        <v>7001349.3300000001</v>
      </c>
      <c r="L324" s="102">
        <f t="shared" si="366"/>
        <v>6894631.0600000005</v>
      </c>
      <c r="M324" s="102">
        <f t="shared" ref="M324:O324" si="367">M325+M332</f>
        <v>89010</v>
      </c>
      <c r="N324" s="102">
        <f t="shared" si="367"/>
        <v>0</v>
      </c>
      <c r="O324" s="102">
        <f t="shared" si="367"/>
        <v>0</v>
      </c>
      <c r="P324" s="102">
        <f t="shared" si="287"/>
        <v>7332438.5</v>
      </c>
      <c r="Q324" s="102">
        <f t="shared" si="288"/>
        <v>7001349.3300000001</v>
      </c>
      <c r="R324" s="102">
        <f t="shared" si="289"/>
        <v>6894631.0600000005</v>
      </c>
      <c r="S324" s="102">
        <f t="shared" ref="S324:U324" si="368">S325+S332</f>
        <v>317140.3</v>
      </c>
      <c r="T324" s="102">
        <f t="shared" si="368"/>
        <v>293866.65999999997</v>
      </c>
      <c r="U324" s="102">
        <f t="shared" si="368"/>
        <v>278194.39</v>
      </c>
      <c r="V324" s="102">
        <f t="shared" si="361"/>
        <v>7649578.7999999998</v>
      </c>
      <c r="W324" s="102">
        <f t="shared" si="362"/>
        <v>7295215.9900000002</v>
      </c>
      <c r="X324" s="102">
        <f t="shared" si="363"/>
        <v>7172825.4500000002</v>
      </c>
    </row>
    <row r="325" spans="1:24" ht="25.5">
      <c r="A325" s="2" t="s">
        <v>139</v>
      </c>
      <c r="B325" s="1" t="s">
        <v>41</v>
      </c>
      <c r="C325" s="1" t="s">
        <v>30</v>
      </c>
      <c r="D325" s="1" t="s">
        <v>16</v>
      </c>
      <c r="E325" s="1" t="s">
        <v>20</v>
      </c>
      <c r="F325" s="1" t="s">
        <v>127</v>
      </c>
      <c r="G325" s="1" t="s">
        <v>148</v>
      </c>
      <c r="H325" s="1" t="s">
        <v>149</v>
      </c>
      <c r="I325" s="17"/>
      <c r="J325" s="102">
        <f>J329+J326</f>
        <v>2021540</v>
      </c>
      <c r="K325" s="102">
        <f t="shared" ref="K325:O325" si="369">K329+K326</f>
        <v>2046970</v>
      </c>
      <c r="L325" s="102">
        <f t="shared" si="369"/>
        <v>2363360</v>
      </c>
      <c r="M325" s="102">
        <f t="shared" si="369"/>
        <v>50000</v>
      </c>
      <c r="N325" s="102">
        <f t="shared" si="369"/>
        <v>0</v>
      </c>
      <c r="O325" s="102">
        <f t="shared" si="369"/>
        <v>0</v>
      </c>
      <c r="P325" s="102">
        <f t="shared" si="287"/>
        <v>2071540</v>
      </c>
      <c r="Q325" s="102">
        <f t="shared" si="288"/>
        <v>2046970</v>
      </c>
      <c r="R325" s="102">
        <f t="shared" si="289"/>
        <v>2363360</v>
      </c>
      <c r="S325" s="102">
        <f t="shared" ref="S325:U325" si="370">S329+S326</f>
        <v>4723</v>
      </c>
      <c r="T325" s="102">
        <f t="shared" si="370"/>
        <v>0</v>
      </c>
      <c r="U325" s="102">
        <f t="shared" si="370"/>
        <v>0</v>
      </c>
      <c r="V325" s="102">
        <f t="shared" si="361"/>
        <v>2076263</v>
      </c>
      <c r="W325" s="102">
        <f t="shared" si="362"/>
        <v>2046970</v>
      </c>
      <c r="X325" s="102">
        <f t="shared" si="363"/>
        <v>2363360</v>
      </c>
    </row>
    <row r="326" spans="1:24" ht="216.75">
      <c r="A326" s="2" t="s">
        <v>428</v>
      </c>
      <c r="B326" s="1" t="s">
        <v>41</v>
      </c>
      <c r="C326" s="1" t="s">
        <v>30</v>
      </c>
      <c r="D326" s="1" t="s">
        <v>16</v>
      </c>
      <c r="E326" s="1" t="s">
        <v>20</v>
      </c>
      <c r="F326" s="1" t="s">
        <v>127</v>
      </c>
      <c r="G326" s="1" t="s">
        <v>148</v>
      </c>
      <c r="H326" s="1" t="s">
        <v>427</v>
      </c>
      <c r="I326" s="17"/>
      <c r="J326" s="102">
        <f>J327</f>
        <v>0</v>
      </c>
      <c r="K326" s="102">
        <f t="shared" ref="K326:O327" si="371">K327</f>
        <v>0</v>
      </c>
      <c r="L326" s="102">
        <f t="shared" si="371"/>
        <v>0</v>
      </c>
      <c r="M326" s="102">
        <f t="shared" si="371"/>
        <v>50000</v>
      </c>
      <c r="N326" s="102">
        <f t="shared" si="371"/>
        <v>0</v>
      </c>
      <c r="O326" s="102">
        <f t="shared" si="371"/>
        <v>0</v>
      </c>
      <c r="P326" s="102">
        <f t="shared" ref="P326:P328" si="372">J326+M326</f>
        <v>50000</v>
      </c>
      <c r="Q326" s="102">
        <f t="shared" ref="Q326:Q328" si="373">K326+N326</f>
        <v>0</v>
      </c>
      <c r="R326" s="102">
        <f t="shared" ref="R326:R328" si="374">L326+O326</f>
        <v>0</v>
      </c>
      <c r="S326" s="102">
        <f t="shared" ref="S326:U327" si="375">S327</f>
        <v>4723</v>
      </c>
      <c r="T326" s="102">
        <f t="shared" si="375"/>
        <v>0</v>
      </c>
      <c r="U326" s="102">
        <f t="shared" si="375"/>
        <v>0</v>
      </c>
      <c r="V326" s="102">
        <f t="shared" si="361"/>
        <v>54723</v>
      </c>
      <c r="W326" s="102">
        <f t="shared" si="362"/>
        <v>0</v>
      </c>
      <c r="X326" s="102">
        <f t="shared" si="363"/>
        <v>0</v>
      </c>
    </row>
    <row r="327" spans="1:24" ht="25.5">
      <c r="A327" s="9" t="s">
        <v>72</v>
      </c>
      <c r="B327" s="1" t="s">
        <v>41</v>
      </c>
      <c r="C327" s="1" t="s">
        <v>30</v>
      </c>
      <c r="D327" s="1" t="s">
        <v>16</v>
      </c>
      <c r="E327" s="1" t="s">
        <v>20</v>
      </c>
      <c r="F327" s="1" t="s">
        <v>127</v>
      </c>
      <c r="G327" s="1" t="s">
        <v>148</v>
      </c>
      <c r="H327" s="1" t="s">
        <v>427</v>
      </c>
      <c r="I327" s="116" t="s">
        <v>71</v>
      </c>
      <c r="J327" s="102">
        <f>J328</f>
        <v>0</v>
      </c>
      <c r="K327" s="102">
        <f t="shared" si="371"/>
        <v>0</v>
      </c>
      <c r="L327" s="102">
        <f t="shared" si="371"/>
        <v>0</v>
      </c>
      <c r="M327" s="102">
        <f t="shared" si="371"/>
        <v>50000</v>
      </c>
      <c r="N327" s="102">
        <f t="shared" si="371"/>
        <v>0</v>
      </c>
      <c r="O327" s="102">
        <f t="shared" si="371"/>
        <v>0</v>
      </c>
      <c r="P327" s="102">
        <f t="shared" si="372"/>
        <v>50000</v>
      </c>
      <c r="Q327" s="102">
        <f t="shared" si="373"/>
        <v>0</v>
      </c>
      <c r="R327" s="102">
        <f t="shared" si="374"/>
        <v>0</v>
      </c>
      <c r="S327" s="102">
        <f t="shared" si="375"/>
        <v>4723</v>
      </c>
      <c r="T327" s="102">
        <f t="shared" si="375"/>
        <v>0</v>
      </c>
      <c r="U327" s="102">
        <f t="shared" si="375"/>
        <v>0</v>
      </c>
      <c r="V327" s="102">
        <f t="shared" si="361"/>
        <v>54723</v>
      </c>
      <c r="W327" s="102">
        <f t="shared" si="362"/>
        <v>0</v>
      </c>
      <c r="X327" s="102">
        <f t="shared" si="363"/>
        <v>0</v>
      </c>
    </row>
    <row r="328" spans="1:24">
      <c r="A328" s="9" t="s">
        <v>75</v>
      </c>
      <c r="B328" s="1" t="s">
        <v>41</v>
      </c>
      <c r="C328" s="1" t="s">
        <v>30</v>
      </c>
      <c r="D328" s="1" t="s">
        <v>16</v>
      </c>
      <c r="E328" s="1" t="s">
        <v>20</v>
      </c>
      <c r="F328" s="1" t="s">
        <v>127</v>
      </c>
      <c r="G328" s="1" t="s">
        <v>148</v>
      </c>
      <c r="H328" s="1" t="s">
        <v>427</v>
      </c>
      <c r="I328" s="116" t="s">
        <v>74</v>
      </c>
      <c r="J328" s="102"/>
      <c r="K328" s="102"/>
      <c r="L328" s="102"/>
      <c r="M328" s="102">
        <v>50000</v>
      </c>
      <c r="N328" s="102"/>
      <c r="O328" s="102"/>
      <c r="P328" s="102">
        <f t="shared" si="372"/>
        <v>50000</v>
      </c>
      <c r="Q328" s="102">
        <f t="shared" si="373"/>
        <v>0</v>
      </c>
      <c r="R328" s="102">
        <f t="shared" si="374"/>
        <v>0</v>
      </c>
      <c r="S328" s="102">
        <v>4723</v>
      </c>
      <c r="T328" s="102"/>
      <c r="U328" s="102"/>
      <c r="V328" s="102">
        <f t="shared" si="361"/>
        <v>54723</v>
      </c>
      <c r="W328" s="102">
        <f t="shared" si="362"/>
        <v>0</v>
      </c>
      <c r="X328" s="102">
        <f t="shared" si="363"/>
        <v>0</v>
      </c>
    </row>
    <row r="329" spans="1:24" ht="38.25">
      <c r="A329" s="9" t="s">
        <v>73</v>
      </c>
      <c r="B329" s="1" t="s">
        <v>41</v>
      </c>
      <c r="C329" s="10" t="s">
        <v>30</v>
      </c>
      <c r="D329" s="10" t="s">
        <v>16</v>
      </c>
      <c r="E329" s="1" t="s">
        <v>20</v>
      </c>
      <c r="F329" s="1" t="s">
        <v>127</v>
      </c>
      <c r="G329" s="1" t="s">
        <v>148</v>
      </c>
      <c r="H329" s="10" t="s">
        <v>168</v>
      </c>
      <c r="I329" s="17"/>
      <c r="J329" s="102">
        <f t="shared" ref="J329:O330" si="376">J330</f>
        <v>2021540</v>
      </c>
      <c r="K329" s="102">
        <f t="shared" si="376"/>
        <v>2046970</v>
      </c>
      <c r="L329" s="102">
        <f t="shared" si="376"/>
        <v>2363360</v>
      </c>
      <c r="M329" s="102">
        <f t="shared" si="376"/>
        <v>0</v>
      </c>
      <c r="N329" s="102">
        <f t="shared" si="376"/>
        <v>0</v>
      </c>
      <c r="O329" s="102">
        <f t="shared" si="376"/>
        <v>0</v>
      </c>
      <c r="P329" s="102">
        <f t="shared" si="287"/>
        <v>2021540</v>
      </c>
      <c r="Q329" s="102">
        <f t="shared" si="288"/>
        <v>2046970</v>
      </c>
      <c r="R329" s="102">
        <f t="shared" si="289"/>
        <v>2363360</v>
      </c>
      <c r="S329" s="102">
        <f t="shared" ref="S329:U330" si="377">S330</f>
        <v>0</v>
      </c>
      <c r="T329" s="102">
        <f t="shared" si="377"/>
        <v>0</v>
      </c>
      <c r="U329" s="102">
        <f t="shared" si="377"/>
        <v>0</v>
      </c>
      <c r="V329" s="102">
        <f t="shared" si="361"/>
        <v>2021540</v>
      </c>
      <c r="W329" s="102">
        <f t="shared" si="362"/>
        <v>2046970</v>
      </c>
      <c r="X329" s="102">
        <f t="shared" si="363"/>
        <v>2363360</v>
      </c>
    </row>
    <row r="330" spans="1:24" ht="25.5">
      <c r="A330" s="9" t="s">
        <v>72</v>
      </c>
      <c r="B330" s="1" t="s">
        <v>41</v>
      </c>
      <c r="C330" s="10" t="s">
        <v>30</v>
      </c>
      <c r="D330" s="10" t="s">
        <v>16</v>
      </c>
      <c r="E330" s="1" t="s">
        <v>20</v>
      </c>
      <c r="F330" s="1" t="s">
        <v>127</v>
      </c>
      <c r="G330" s="1" t="s">
        <v>148</v>
      </c>
      <c r="H330" s="10" t="s">
        <v>168</v>
      </c>
      <c r="I330" s="17" t="s">
        <v>71</v>
      </c>
      <c r="J330" s="102">
        <f t="shared" si="376"/>
        <v>2021540</v>
      </c>
      <c r="K330" s="102">
        <f t="shared" si="376"/>
        <v>2046970</v>
      </c>
      <c r="L330" s="102">
        <f t="shared" si="376"/>
        <v>2363360</v>
      </c>
      <c r="M330" s="102">
        <f t="shared" si="376"/>
        <v>0</v>
      </c>
      <c r="N330" s="102">
        <f t="shared" si="376"/>
        <v>0</v>
      </c>
      <c r="O330" s="102">
        <f t="shared" si="376"/>
        <v>0</v>
      </c>
      <c r="P330" s="102">
        <f t="shared" si="287"/>
        <v>2021540</v>
      </c>
      <c r="Q330" s="102">
        <f t="shared" si="288"/>
        <v>2046970</v>
      </c>
      <c r="R330" s="102">
        <f t="shared" si="289"/>
        <v>2363360</v>
      </c>
      <c r="S330" s="102">
        <f t="shared" si="377"/>
        <v>0</v>
      </c>
      <c r="T330" s="102">
        <f t="shared" si="377"/>
        <v>0</v>
      </c>
      <c r="U330" s="102">
        <f t="shared" si="377"/>
        <v>0</v>
      </c>
      <c r="V330" s="102">
        <f t="shared" si="361"/>
        <v>2021540</v>
      </c>
      <c r="W330" s="102">
        <f t="shared" si="362"/>
        <v>2046970</v>
      </c>
      <c r="X330" s="102">
        <f t="shared" si="363"/>
        <v>2363360</v>
      </c>
    </row>
    <row r="331" spans="1:24">
      <c r="A331" s="9" t="s">
        <v>75</v>
      </c>
      <c r="B331" s="1" t="s">
        <v>41</v>
      </c>
      <c r="C331" s="10" t="s">
        <v>30</v>
      </c>
      <c r="D331" s="10" t="s">
        <v>16</v>
      </c>
      <c r="E331" s="1" t="s">
        <v>20</v>
      </c>
      <c r="F331" s="1" t="s">
        <v>127</v>
      </c>
      <c r="G331" s="1" t="s">
        <v>148</v>
      </c>
      <c r="H331" s="10" t="s">
        <v>168</v>
      </c>
      <c r="I331" s="17" t="s">
        <v>74</v>
      </c>
      <c r="J331" s="102">
        <v>2021540</v>
      </c>
      <c r="K331" s="102">
        <v>2046970</v>
      </c>
      <c r="L331" s="102">
        <v>2363360</v>
      </c>
      <c r="M331" s="102"/>
      <c r="N331" s="102"/>
      <c r="O331" s="102"/>
      <c r="P331" s="102">
        <f t="shared" si="287"/>
        <v>2021540</v>
      </c>
      <c r="Q331" s="102">
        <f t="shared" si="288"/>
        <v>2046970</v>
      </c>
      <c r="R331" s="102">
        <f t="shared" si="289"/>
        <v>2363360</v>
      </c>
      <c r="S331" s="102"/>
      <c r="T331" s="102"/>
      <c r="U331" s="102"/>
      <c r="V331" s="102">
        <f t="shared" si="361"/>
        <v>2021540</v>
      </c>
      <c r="W331" s="102">
        <f t="shared" si="362"/>
        <v>2046970</v>
      </c>
      <c r="X331" s="102">
        <f t="shared" si="363"/>
        <v>2363360</v>
      </c>
    </row>
    <row r="332" spans="1:24" s="85" customFormat="1" ht="25.5">
      <c r="A332" s="138" t="s">
        <v>280</v>
      </c>
      <c r="B332" s="1" t="s">
        <v>41</v>
      </c>
      <c r="C332" s="10" t="s">
        <v>30</v>
      </c>
      <c r="D332" s="10" t="s">
        <v>16</v>
      </c>
      <c r="E332" s="1" t="s">
        <v>20</v>
      </c>
      <c r="F332" s="74" t="s">
        <v>134</v>
      </c>
      <c r="G332" s="74" t="s">
        <v>148</v>
      </c>
      <c r="H332" s="94" t="s">
        <v>149</v>
      </c>
      <c r="I332" s="95"/>
      <c r="J332" s="105">
        <f>J339+J336+J333</f>
        <v>5221888.5</v>
      </c>
      <c r="K332" s="105">
        <f t="shared" ref="K332:O332" si="378">K339+K336+K333</f>
        <v>4954379.33</v>
      </c>
      <c r="L332" s="105">
        <f t="shared" si="378"/>
        <v>4531271.0600000005</v>
      </c>
      <c r="M332" s="105">
        <f t="shared" si="378"/>
        <v>39010</v>
      </c>
      <c r="N332" s="105">
        <f t="shared" si="378"/>
        <v>0</v>
      </c>
      <c r="O332" s="105">
        <f t="shared" si="378"/>
        <v>0</v>
      </c>
      <c r="P332" s="105">
        <f t="shared" ref="P332:P409" si="379">J332+M332</f>
        <v>5260898.5</v>
      </c>
      <c r="Q332" s="105">
        <f t="shared" ref="Q332:Q409" si="380">K332+N332</f>
        <v>4954379.33</v>
      </c>
      <c r="R332" s="105">
        <f t="shared" ref="R332:R409" si="381">L332+O332</f>
        <v>4531271.0600000005</v>
      </c>
      <c r="S332" s="105">
        <f t="shared" ref="S332:U332" si="382">S339+S336+S333</f>
        <v>312417.3</v>
      </c>
      <c r="T332" s="105">
        <f t="shared" si="382"/>
        <v>293866.65999999997</v>
      </c>
      <c r="U332" s="105">
        <f t="shared" si="382"/>
        <v>278194.39</v>
      </c>
      <c r="V332" s="105">
        <f t="shared" si="361"/>
        <v>5573315.7999999998</v>
      </c>
      <c r="W332" s="105">
        <f t="shared" si="362"/>
        <v>5248245.99</v>
      </c>
      <c r="X332" s="105">
        <f t="shared" si="363"/>
        <v>4809465.45</v>
      </c>
    </row>
    <row r="333" spans="1:24" ht="216.75">
      <c r="A333" s="2" t="s">
        <v>428</v>
      </c>
      <c r="B333" s="1" t="s">
        <v>41</v>
      </c>
      <c r="C333" s="1" t="s">
        <v>30</v>
      </c>
      <c r="D333" s="1" t="s">
        <v>16</v>
      </c>
      <c r="E333" s="1" t="s">
        <v>20</v>
      </c>
      <c r="F333" s="1" t="s">
        <v>134</v>
      </c>
      <c r="G333" s="1" t="s">
        <v>148</v>
      </c>
      <c r="H333" s="1" t="s">
        <v>427</v>
      </c>
      <c r="I333" s="17"/>
      <c r="J333" s="102">
        <f>J334</f>
        <v>0</v>
      </c>
      <c r="K333" s="102">
        <f t="shared" ref="K333:K334" si="383">K334</f>
        <v>0</v>
      </c>
      <c r="L333" s="102">
        <f t="shared" ref="L333:L334" si="384">L334</f>
        <v>0</v>
      </c>
      <c r="M333" s="102">
        <f t="shared" ref="M333:M334" si="385">M334</f>
        <v>39010</v>
      </c>
      <c r="N333" s="102">
        <f t="shared" ref="N333:N334" si="386">N334</f>
        <v>0</v>
      </c>
      <c r="O333" s="102">
        <f t="shared" ref="O333:O334" si="387">O334</f>
        <v>0</v>
      </c>
      <c r="P333" s="102">
        <f t="shared" si="379"/>
        <v>39010</v>
      </c>
      <c r="Q333" s="102">
        <f t="shared" si="380"/>
        <v>0</v>
      </c>
      <c r="R333" s="102">
        <f t="shared" si="381"/>
        <v>0</v>
      </c>
      <c r="S333" s="102">
        <f t="shared" ref="S333:U334" si="388">S334</f>
        <v>0</v>
      </c>
      <c r="T333" s="102">
        <f t="shared" si="388"/>
        <v>0</v>
      </c>
      <c r="U333" s="102">
        <f t="shared" si="388"/>
        <v>0</v>
      </c>
      <c r="V333" s="102">
        <f t="shared" si="361"/>
        <v>39010</v>
      </c>
      <c r="W333" s="102">
        <f t="shared" si="362"/>
        <v>0</v>
      </c>
      <c r="X333" s="102">
        <f t="shared" si="363"/>
        <v>0</v>
      </c>
    </row>
    <row r="334" spans="1:24" ht="25.5">
      <c r="A334" s="9" t="s">
        <v>72</v>
      </c>
      <c r="B334" s="1" t="s">
        <v>41</v>
      </c>
      <c r="C334" s="1" t="s">
        <v>30</v>
      </c>
      <c r="D334" s="1" t="s">
        <v>16</v>
      </c>
      <c r="E334" s="1" t="s">
        <v>20</v>
      </c>
      <c r="F334" s="1" t="s">
        <v>134</v>
      </c>
      <c r="G334" s="1" t="s">
        <v>148</v>
      </c>
      <c r="H334" s="1" t="s">
        <v>427</v>
      </c>
      <c r="I334" s="116" t="s">
        <v>71</v>
      </c>
      <c r="J334" s="102">
        <f>J335</f>
        <v>0</v>
      </c>
      <c r="K334" s="102">
        <f t="shared" si="383"/>
        <v>0</v>
      </c>
      <c r="L334" s="102">
        <f t="shared" si="384"/>
        <v>0</v>
      </c>
      <c r="M334" s="102">
        <f t="shared" si="385"/>
        <v>39010</v>
      </c>
      <c r="N334" s="102">
        <f t="shared" si="386"/>
        <v>0</v>
      </c>
      <c r="O334" s="102">
        <f t="shared" si="387"/>
        <v>0</v>
      </c>
      <c r="P334" s="102">
        <f t="shared" si="379"/>
        <v>39010</v>
      </c>
      <c r="Q334" s="102">
        <f t="shared" si="380"/>
        <v>0</v>
      </c>
      <c r="R334" s="102">
        <f t="shared" si="381"/>
        <v>0</v>
      </c>
      <c r="S334" s="102">
        <f t="shared" si="388"/>
        <v>0</v>
      </c>
      <c r="T334" s="102">
        <f t="shared" si="388"/>
        <v>0</v>
      </c>
      <c r="U334" s="102">
        <f t="shared" si="388"/>
        <v>0</v>
      </c>
      <c r="V334" s="102">
        <f t="shared" si="361"/>
        <v>39010</v>
      </c>
      <c r="W334" s="102">
        <f t="shared" si="362"/>
        <v>0</v>
      </c>
      <c r="X334" s="102">
        <f t="shared" si="363"/>
        <v>0</v>
      </c>
    </row>
    <row r="335" spans="1:24">
      <c r="A335" s="9" t="s">
        <v>75</v>
      </c>
      <c r="B335" s="1" t="s">
        <v>41</v>
      </c>
      <c r="C335" s="1" t="s">
        <v>30</v>
      </c>
      <c r="D335" s="1" t="s">
        <v>16</v>
      </c>
      <c r="E335" s="1" t="s">
        <v>20</v>
      </c>
      <c r="F335" s="1" t="s">
        <v>134</v>
      </c>
      <c r="G335" s="1" t="s">
        <v>148</v>
      </c>
      <c r="H335" s="1" t="s">
        <v>427</v>
      </c>
      <c r="I335" s="116" t="s">
        <v>74</v>
      </c>
      <c r="J335" s="102"/>
      <c r="K335" s="102"/>
      <c r="L335" s="102"/>
      <c r="M335" s="102">
        <v>39010</v>
      </c>
      <c r="N335" s="102"/>
      <c r="O335" s="102"/>
      <c r="P335" s="102">
        <f t="shared" si="379"/>
        <v>39010</v>
      </c>
      <c r="Q335" s="102">
        <f t="shared" si="380"/>
        <v>0</v>
      </c>
      <c r="R335" s="102">
        <f t="shared" si="381"/>
        <v>0</v>
      </c>
      <c r="S335" s="102"/>
      <c r="T335" s="102"/>
      <c r="U335" s="102"/>
      <c r="V335" s="102">
        <f t="shared" si="361"/>
        <v>39010</v>
      </c>
      <c r="W335" s="102">
        <f t="shared" si="362"/>
        <v>0</v>
      </c>
      <c r="X335" s="102">
        <f t="shared" si="363"/>
        <v>0</v>
      </c>
    </row>
    <row r="336" spans="1:24" s="85" customFormat="1" ht="51">
      <c r="A336" s="72" t="s">
        <v>297</v>
      </c>
      <c r="B336" s="65" t="s">
        <v>41</v>
      </c>
      <c r="C336" s="10" t="s">
        <v>30</v>
      </c>
      <c r="D336" s="10" t="s">
        <v>16</v>
      </c>
      <c r="E336" s="1" t="s">
        <v>20</v>
      </c>
      <c r="F336" s="1" t="s">
        <v>134</v>
      </c>
      <c r="G336" s="1" t="s">
        <v>148</v>
      </c>
      <c r="H336" s="1" t="s">
        <v>238</v>
      </c>
      <c r="I336" s="75"/>
      <c r="J336" s="122">
        <f>J337</f>
        <v>4546188.5</v>
      </c>
      <c r="K336" s="122">
        <f t="shared" ref="K336:O337" si="389">K337</f>
        <v>4277929.33</v>
      </c>
      <c r="L336" s="122">
        <f t="shared" si="389"/>
        <v>3854311.06</v>
      </c>
      <c r="M336" s="122">
        <f t="shared" si="389"/>
        <v>0</v>
      </c>
      <c r="N336" s="122">
        <f t="shared" si="389"/>
        <v>0</v>
      </c>
      <c r="O336" s="122">
        <f t="shared" si="389"/>
        <v>0</v>
      </c>
      <c r="P336" s="122">
        <f t="shared" si="379"/>
        <v>4546188.5</v>
      </c>
      <c r="Q336" s="122">
        <f t="shared" si="380"/>
        <v>4277929.33</v>
      </c>
      <c r="R336" s="122">
        <f t="shared" si="381"/>
        <v>3854311.06</v>
      </c>
      <c r="S336" s="122">
        <f t="shared" ref="S336:U337" si="390">S337</f>
        <v>312417.3</v>
      </c>
      <c r="T336" s="122">
        <f t="shared" si="390"/>
        <v>293866.65999999997</v>
      </c>
      <c r="U336" s="122">
        <f t="shared" si="390"/>
        <v>278194.39</v>
      </c>
      <c r="V336" s="122">
        <f t="shared" si="361"/>
        <v>4858605.8</v>
      </c>
      <c r="W336" s="122">
        <f t="shared" si="362"/>
        <v>4571795.99</v>
      </c>
      <c r="X336" s="122">
        <f t="shared" si="363"/>
        <v>4132505.45</v>
      </c>
    </row>
    <row r="337" spans="1:24" s="85" customFormat="1" ht="25.5">
      <c r="A337" s="7" t="s">
        <v>72</v>
      </c>
      <c r="B337" s="65" t="s">
        <v>41</v>
      </c>
      <c r="C337" s="10" t="s">
        <v>30</v>
      </c>
      <c r="D337" s="10" t="s">
        <v>16</v>
      </c>
      <c r="E337" s="1" t="s">
        <v>20</v>
      </c>
      <c r="F337" s="1" t="s">
        <v>134</v>
      </c>
      <c r="G337" s="1" t="s">
        <v>148</v>
      </c>
      <c r="H337" s="1" t="s">
        <v>238</v>
      </c>
      <c r="I337" s="75" t="s">
        <v>71</v>
      </c>
      <c r="J337" s="122">
        <f>J338</f>
        <v>4546188.5</v>
      </c>
      <c r="K337" s="122">
        <f t="shared" si="389"/>
        <v>4277929.33</v>
      </c>
      <c r="L337" s="122">
        <f t="shared" si="389"/>
        <v>3854311.06</v>
      </c>
      <c r="M337" s="122">
        <f t="shared" si="389"/>
        <v>0</v>
      </c>
      <c r="N337" s="122">
        <f t="shared" si="389"/>
        <v>0</v>
      </c>
      <c r="O337" s="122">
        <f t="shared" si="389"/>
        <v>0</v>
      </c>
      <c r="P337" s="122">
        <f t="shared" si="379"/>
        <v>4546188.5</v>
      </c>
      <c r="Q337" s="122">
        <f t="shared" si="380"/>
        <v>4277929.33</v>
      </c>
      <c r="R337" s="122">
        <f t="shared" si="381"/>
        <v>3854311.06</v>
      </c>
      <c r="S337" s="122">
        <f t="shared" si="390"/>
        <v>312417.3</v>
      </c>
      <c r="T337" s="122">
        <f t="shared" si="390"/>
        <v>293866.65999999997</v>
      </c>
      <c r="U337" s="122">
        <f t="shared" si="390"/>
        <v>278194.39</v>
      </c>
      <c r="V337" s="122">
        <f t="shared" si="361"/>
        <v>4858605.8</v>
      </c>
      <c r="W337" s="122">
        <f t="shared" si="362"/>
        <v>4571795.99</v>
      </c>
      <c r="X337" s="122">
        <f t="shared" si="363"/>
        <v>4132505.45</v>
      </c>
    </row>
    <row r="338" spans="1:24">
      <c r="A338" s="11" t="s">
        <v>75</v>
      </c>
      <c r="B338" s="65" t="s">
        <v>41</v>
      </c>
      <c r="C338" s="10" t="s">
        <v>30</v>
      </c>
      <c r="D338" s="10" t="s">
        <v>16</v>
      </c>
      <c r="E338" s="1" t="s">
        <v>20</v>
      </c>
      <c r="F338" s="1" t="s">
        <v>134</v>
      </c>
      <c r="G338" s="1" t="s">
        <v>148</v>
      </c>
      <c r="H338" s="1" t="s">
        <v>238</v>
      </c>
      <c r="I338" s="75" t="s">
        <v>74</v>
      </c>
      <c r="J338" s="122">
        <f>4541660.5+4528</f>
        <v>4546188.5</v>
      </c>
      <c r="K338" s="122">
        <f>4273401.33+4528</f>
        <v>4277929.33</v>
      </c>
      <c r="L338" s="122">
        <f>3849783.06+4528</f>
        <v>3854311.06</v>
      </c>
      <c r="M338" s="122"/>
      <c r="N338" s="122"/>
      <c r="O338" s="122"/>
      <c r="P338" s="122">
        <f t="shared" si="379"/>
        <v>4546188.5</v>
      </c>
      <c r="Q338" s="122">
        <f t="shared" si="380"/>
        <v>4277929.33</v>
      </c>
      <c r="R338" s="122">
        <f t="shared" si="381"/>
        <v>3854311.06</v>
      </c>
      <c r="S338" s="122">
        <f>312086.7+330.6</f>
        <v>312417.3</v>
      </c>
      <c r="T338" s="122">
        <v>293866.65999999997</v>
      </c>
      <c r="U338" s="122">
        <v>278194.39</v>
      </c>
      <c r="V338" s="122">
        <f t="shared" si="361"/>
        <v>4858605.8</v>
      </c>
      <c r="W338" s="122">
        <f t="shared" si="362"/>
        <v>4571795.99</v>
      </c>
      <c r="X338" s="122">
        <f t="shared" si="363"/>
        <v>4132505.45</v>
      </c>
    </row>
    <row r="339" spans="1:24" ht="38.25">
      <c r="A339" s="93" t="s">
        <v>193</v>
      </c>
      <c r="B339" s="1" t="s">
        <v>41</v>
      </c>
      <c r="C339" s="10" t="s">
        <v>30</v>
      </c>
      <c r="D339" s="10" t="s">
        <v>16</v>
      </c>
      <c r="E339" s="1" t="s">
        <v>20</v>
      </c>
      <c r="F339" s="74" t="s">
        <v>134</v>
      </c>
      <c r="G339" s="74" t="s">
        <v>148</v>
      </c>
      <c r="H339" s="119" t="s">
        <v>209</v>
      </c>
      <c r="I339" s="95"/>
      <c r="J339" s="105">
        <f t="shared" ref="J339:O340" si="391">J340</f>
        <v>675700</v>
      </c>
      <c r="K339" s="105">
        <f t="shared" si="391"/>
        <v>676450</v>
      </c>
      <c r="L339" s="105">
        <f t="shared" si="391"/>
        <v>676960</v>
      </c>
      <c r="M339" s="105">
        <f t="shared" si="391"/>
        <v>0</v>
      </c>
      <c r="N339" s="105">
        <f t="shared" si="391"/>
        <v>0</v>
      </c>
      <c r="O339" s="105">
        <f t="shared" si="391"/>
        <v>0</v>
      </c>
      <c r="P339" s="105">
        <f t="shared" si="379"/>
        <v>675700</v>
      </c>
      <c r="Q339" s="105">
        <f t="shared" si="380"/>
        <v>676450</v>
      </c>
      <c r="R339" s="105">
        <f t="shared" si="381"/>
        <v>676960</v>
      </c>
      <c r="S339" s="105">
        <f t="shared" ref="S339:U340" si="392">S340</f>
        <v>0</v>
      </c>
      <c r="T339" s="105">
        <f t="shared" si="392"/>
        <v>0</v>
      </c>
      <c r="U339" s="105">
        <f t="shared" si="392"/>
        <v>0</v>
      </c>
      <c r="V339" s="105">
        <f t="shared" si="361"/>
        <v>675700</v>
      </c>
      <c r="W339" s="105">
        <f t="shared" si="362"/>
        <v>676450</v>
      </c>
      <c r="X339" s="105">
        <f t="shared" si="363"/>
        <v>676960</v>
      </c>
    </row>
    <row r="340" spans="1:24" ht="25.5">
      <c r="A340" s="9" t="s">
        <v>72</v>
      </c>
      <c r="B340" s="1" t="s">
        <v>41</v>
      </c>
      <c r="C340" s="10" t="s">
        <v>30</v>
      </c>
      <c r="D340" s="10" t="s">
        <v>16</v>
      </c>
      <c r="E340" s="1" t="s">
        <v>20</v>
      </c>
      <c r="F340" s="74" t="s">
        <v>134</v>
      </c>
      <c r="G340" s="74" t="s">
        <v>148</v>
      </c>
      <c r="H340" s="119" t="s">
        <v>209</v>
      </c>
      <c r="I340" s="95" t="s">
        <v>71</v>
      </c>
      <c r="J340" s="105">
        <f t="shared" si="391"/>
        <v>675700</v>
      </c>
      <c r="K340" s="105">
        <f t="shared" si="391"/>
        <v>676450</v>
      </c>
      <c r="L340" s="105">
        <f t="shared" si="391"/>
        <v>676960</v>
      </c>
      <c r="M340" s="105">
        <f t="shared" si="391"/>
        <v>0</v>
      </c>
      <c r="N340" s="105">
        <f t="shared" si="391"/>
        <v>0</v>
      </c>
      <c r="O340" s="105">
        <f t="shared" si="391"/>
        <v>0</v>
      </c>
      <c r="P340" s="105">
        <f t="shared" si="379"/>
        <v>675700</v>
      </c>
      <c r="Q340" s="105">
        <f t="shared" si="380"/>
        <v>676450</v>
      </c>
      <c r="R340" s="105">
        <f t="shared" si="381"/>
        <v>676960</v>
      </c>
      <c r="S340" s="105">
        <f t="shared" si="392"/>
        <v>0</v>
      </c>
      <c r="T340" s="105">
        <f t="shared" si="392"/>
        <v>0</v>
      </c>
      <c r="U340" s="105">
        <f t="shared" si="392"/>
        <v>0</v>
      </c>
      <c r="V340" s="105">
        <f t="shared" si="361"/>
        <v>675700</v>
      </c>
      <c r="W340" s="105">
        <f t="shared" si="362"/>
        <v>676450</v>
      </c>
      <c r="X340" s="105">
        <f t="shared" si="363"/>
        <v>676960</v>
      </c>
    </row>
    <row r="341" spans="1:24">
      <c r="A341" s="9" t="s">
        <v>75</v>
      </c>
      <c r="B341" s="1" t="s">
        <v>41</v>
      </c>
      <c r="C341" s="10" t="s">
        <v>30</v>
      </c>
      <c r="D341" s="10" t="s">
        <v>16</v>
      </c>
      <c r="E341" s="1" t="s">
        <v>20</v>
      </c>
      <c r="F341" s="74" t="s">
        <v>134</v>
      </c>
      <c r="G341" s="74" t="s">
        <v>148</v>
      </c>
      <c r="H341" s="119" t="s">
        <v>209</v>
      </c>
      <c r="I341" s="95" t="s">
        <v>74</v>
      </c>
      <c r="J341" s="105">
        <f>175700+500000</f>
        <v>675700</v>
      </c>
      <c r="K341" s="105">
        <f>176450+500000</f>
        <v>676450</v>
      </c>
      <c r="L341" s="105">
        <f>176960+500000</f>
        <v>676960</v>
      </c>
      <c r="M341" s="105"/>
      <c r="N341" s="105"/>
      <c r="O341" s="105"/>
      <c r="P341" s="105">
        <f t="shared" si="379"/>
        <v>675700</v>
      </c>
      <c r="Q341" s="105">
        <f t="shared" si="380"/>
        <v>676450</v>
      </c>
      <c r="R341" s="105">
        <f t="shared" si="381"/>
        <v>676960</v>
      </c>
      <c r="S341" s="105"/>
      <c r="T341" s="105"/>
      <c r="U341" s="105"/>
      <c r="V341" s="105">
        <f t="shared" si="361"/>
        <v>675700</v>
      </c>
      <c r="W341" s="105">
        <f t="shared" si="362"/>
        <v>676450</v>
      </c>
      <c r="X341" s="105">
        <f t="shared" si="363"/>
        <v>676960</v>
      </c>
    </row>
    <row r="342" spans="1:24">
      <c r="A342" s="76"/>
      <c r="B342" s="73"/>
      <c r="C342" s="74"/>
      <c r="D342" s="74"/>
      <c r="E342" s="74"/>
      <c r="F342" s="74"/>
      <c r="G342" s="74"/>
      <c r="H342" s="74"/>
      <c r="I342" s="75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</row>
    <row r="343" spans="1:24">
      <c r="A343" s="18" t="s">
        <v>59</v>
      </c>
      <c r="B343" s="14" t="s">
        <v>41</v>
      </c>
      <c r="C343" s="14" t="s">
        <v>30</v>
      </c>
      <c r="D343" s="14" t="s">
        <v>3</v>
      </c>
      <c r="E343" s="14"/>
      <c r="F343" s="14"/>
      <c r="G343" s="14"/>
      <c r="H343" s="1"/>
      <c r="I343" s="13"/>
      <c r="J343" s="101">
        <f>J344</f>
        <v>2796853.9099999997</v>
      </c>
      <c r="K343" s="101">
        <f t="shared" ref="K343:O343" si="393">K344</f>
        <v>3042755.21</v>
      </c>
      <c r="L343" s="101">
        <f t="shared" si="393"/>
        <v>3429838.5399999996</v>
      </c>
      <c r="M343" s="101">
        <f t="shared" si="393"/>
        <v>25008.1</v>
      </c>
      <c r="N343" s="101">
        <f t="shared" si="393"/>
        <v>-89112.14</v>
      </c>
      <c r="O343" s="101">
        <f t="shared" si="393"/>
        <v>-370390.75</v>
      </c>
      <c r="P343" s="101">
        <f t="shared" si="379"/>
        <v>2821862.01</v>
      </c>
      <c r="Q343" s="101">
        <f t="shared" si="380"/>
        <v>2953643.07</v>
      </c>
      <c r="R343" s="101">
        <f t="shared" si="381"/>
        <v>3059447.7899999996</v>
      </c>
      <c r="S343" s="101">
        <f t="shared" ref="S343:U343" si="394">S344</f>
        <v>0</v>
      </c>
      <c r="T343" s="101">
        <f t="shared" si="394"/>
        <v>0</v>
      </c>
      <c r="U343" s="101">
        <f t="shared" si="394"/>
        <v>0</v>
      </c>
      <c r="V343" s="101">
        <f t="shared" ref="V343:V352" si="395">P343+S343</f>
        <v>2821862.01</v>
      </c>
      <c r="W343" s="101">
        <f t="shared" ref="W343:W352" si="396">Q343+T343</f>
        <v>2953643.07</v>
      </c>
      <c r="X343" s="101">
        <f t="shared" ref="X343:X352" si="397">R343+U343</f>
        <v>3059447.7899999996</v>
      </c>
    </row>
    <row r="344" spans="1:24">
      <c r="A344" s="7" t="s">
        <v>83</v>
      </c>
      <c r="B344" s="1" t="s">
        <v>41</v>
      </c>
      <c r="C344" s="1" t="s">
        <v>30</v>
      </c>
      <c r="D344" s="1" t="s">
        <v>3</v>
      </c>
      <c r="E344" s="1" t="s">
        <v>82</v>
      </c>
      <c r="F344" s="1" t="s">
        <v>70</v>
      </c>
      <c r="G344" s="1" t="s">
        <v>148</v>
      </c>
      <c r="H344" s="1" t="s">
        <v>149</v>
      </c>
      <c r="I344" s="13"/>
      <c r="J344" s="81">
        <f>J348+J345</f>
        <v>2796853.9099999997</v>
      </c>
      <c r="K344" s="81">
        <f t="shared" ref="K344:L344" si="398">K348+K345</f>
        <v>3042755.21</v>
      </c>
      <c r="L344" s="81">
        <f t="shared" si="398"/>
        <v>3429838.5399999996</v>
      </c>
      <c r="M344" s="81">
        <f t="shared" ref="M344:O344" si="399">M348+M345</f>
        <v>25008.1</v>
      </c>
      <c r="N344" s="81">
        <f t="shared" si="399"/>
        <v>-89112.14</v>
      </c>
      <c r="O344" s="81">
        <f t="shared" si="399"/>
        <v>-370390.75</v>
      </c>
      <c r="P344" s="81">
        <f t="shared" si="379"/>
        <v>2821862.01</v>
      </c>
      <c r="Q344" s="81">
        <f t="shared" si="380"/>
        <v>2953643.07</v>
      </c>
      <c r="R344" s="81">
        <f t="shared" si="381"/>
        <v>3059447.7899999996</v>
      </c>
      <c r="S344" s="81">
        <f t="shared" ref="S344:U344" si="400">S348+S345</f>
        <v>0</v>
      </c>
      <c r="T344" s="81">
        <f t="shared" si="400"/>
        <v>0</v>
      </c>
      <c r="U344" s="81">
        <f t="shared" si="400"/>
        <v>0</v>
      </c>
      <c r="V344" s="81">
        <f t="shared" si="395"/>
        <v>2821862.01</v>
      </c>
      <c r="W344" s="81">
        <f t="shared" si="396"/>
        <v>2953643.07</v>
      </c>
      <c r="X344" s="81">
        <f t="shared" si="397"/>
        <v>3059447.7899999996</v>
      </c>
    </row>
    <row r="345" spans="1:24" ht="25.5">
      <c r="A345" s="2" t="s">
        <v>58</v>
      </c>
      <c r="B345" s="1" t="s">
        <v>41</v>
      </c>
      <c r="C345" s="1" t="s">
        <v>30</v>
      </c>
      <c r="D345" s="1" t="s">
        <v>3</v>
      </c>
      <c r="E345" s="74" t="s">
        <v>82</v>
      </c>
      <c r="F345" s="74" t="s">
        <v>70</v>
      </c>
      <c r="G345" s="74" t="s">
        <v>148</v>
      </c>
      <c r="H345" s="74" t="s">
        <v>169</v>
      </c>
      <c r="I345" s="75"/>
      <c r="J345" s="103">
        <f>J346</f>
        <v>71379.360000000001</v>
      </c>
      <c r="K345" s="103">
        <f t="shared" ref="K345:O346" si="401">K346</f>
        <v>74234.53</v>
      </c>
      <c r="L345" s="103">
        <f t="shared" si="401"/>
        <v>74234.53</v>
      </c>
      <c r="M345" s="103">
        <f t="shared" si="401"/>
        <v>0</v>
      </c>
      <c r="N345" s="103">
        <f t="shared" si="401"/>
        <v>0</v>
      </c>
      <c r="O345" s="103">
        <f t="shared" si="401"/>
        <v>0</v>
      </c>
      <c r="P345" s="103">
        <f t="shared" si="379"/>
        <v>71379.360000000001</v>
      </c>
      <c r="Q345" s="103">
        <f t="shared" si="380"/>
        <v>74234.53</v>
      </c>
      <c r="R345" s="103">
        <f t="shared" si="381"/>
        <v>74234.53</v>
      </c>
      <c r="S345" s="103">
        <f t="shared" ref="S345:U346" si="402">S346</f>
        <v>0</v>
      </c>
      <c r="T345" s="103">
        <f t="shared" si="402"/>
        <v>0</v>
      </c>
      <c r="U345" s="103">
        <f t="shared" si="402"/>
        <v>0</v>
      </c>
      <c r="V345" s="103">
        <f t="shared" si="395"/>
        <v>71379.360000000001</v>
      </c>
      <c r="W345" s="103">
        <f t="shared" si="396"/>
        <v>74234.53</v>
      </c>
      <c r="X345" s="103">
        <f t="shared" si="397"/>
        <v>74234.53</v>
      </c>
    </row>
    <row r="346" spans="1:24">
      <c r="A346" s="9" t="s">
        <v>100</v>
      </c>
      <c r="B346" s="1" t="s">
        <v>41</v>
      </c>
      <c r="C346" s="1" t="s">
        <v>30</v>
      </c>
      <c r="D346" s="1" t="s">
        <v>3</v>
      </c>
      <c r="E346" s="74" t="s">
        <v>82</v>
      </c>
      <c r="F346" s="74" t="s">
        <v>70</v>
      </c>
      <c r="G346" s="74" t="s">
        <v>148</v>
      </c>
      <c r="H346" s="74" t="s">
        <v>169</v>
      </c>
      <c r="I346" s="75" t="s">
        <v>99</v>
      </c>
      <c r="J346" s="103">
        <f>J347</f>
        <v>71379.360000000001</v>
      </c>
      <c r="K346" s="103">
        <f t="shared" si="401"/>
        <v>74234.53</v>
      </c>
      <c r="L346" s="103">
        <f t="shared" si="401"/>
        <v>74234.53</v>
      </c>
      <c r="M346" s="103">
        <f t="shared" si="401"/>
        <v>0</v>
      </c>
      <c r="N346" s="103">
        <f t="shared" si="401"/>
        <v>0</v>
      </c>
      <c r="O346" s="103">
        <f t="shared" si="401"/>
        <v>0</v>
      </c>
      <c r="P346" s="103">
        <f t="shared" si="379"/>
        <v>71379.360000000001</v>
      </c>
      <c r="Q346" s="103">
        <f t="shared" si="380"/>
        <v>74234.53</v>
      </c>
      <c r="R346" s="103">
        <f t="shared" si="381"/>
        <v>74234.53</v>
      </c>
      <c r="S346" s="103">
        <f t="shared" si="402"/>
        <v>0</v>
      </c>
      <c r="T346" s="103">
        <f t="shared" si="402"/>
        <v>0</v>
      </c>
      <c r="U346" s="103">
        <f t="shared" si="402"/>
        <v>0</v>
      </c>
      <c r="V346" s="103">
        <f t="shared" si="395"/>
        <v>71379.360000000001</v>
      </c>
      <c r="W346" s="103">
        <f t="shared" si="396"/>
        <v>74234.53</v>
      </c>
      <c r="X346" s="103">
        <f t="shared" si="397"/>
        <v>74234.53</v>
      </c>
    </row>
    <row r="347" spans="1:24" ht="25.5">
      <c r="A347" s="110" t="s">
        <v>106</v>
      </c>
      <c r="B347" s="1" t="s">
        <v>41</v>
      </c>
      <c r="C347" s="1" t="s">
        <v>30</v>
      </c>
      <c r="D347" s="1" t="s">
        <v>3</v>
      </c>
      <c r="E347" s="74" t="s">
        <v>82</v>
      </c>
      <c r="F347" s="74" t="s">
        <v>70</v>
      </c>
      <c r="G347" s="74" t="s">
        <v>148</v>
      </c>
      <c r="H347" s="74" t="s">
        <v>169</v>
      </c>
      <c r="I347" s="75" t="s">
        <v>107</v>
      </c>
      <c r="J347" s="103">
        <v>71379.360000000001</v>
      </c>
      <c r="K347" s="103">
        <v>74234.53</v>
      </c>
      <c r="L347" s="103">
        <v>74234.53</v>
      </c>
      <c r="M347" s="103"/>
      <c r="N347" s="103"/>
      <c r="O347" s="103"/>
      <c r="P347" s="103">
        <f t="shared" si="379"/>
        <v>71379.360000000001</v>
      </c>
      <c r="Q347" s="103">
        <f t="shared" si="380"/>
        <v>74234.53</v>
      </c>
      <c r="R347" s="103">
        <f t="shared" si="381"/>
        <v>74234.53</v>
      </c>
      <c r="S347" s="103"/>
      <c r="T347" s="103"/>
      <c r="U347" s="103"/>
      <c r="V347" s="103">
        <f t="shared" si="395"/>
        <v>71379.360000000001</v>
      </c>
      <c r="W347" s="103">
        <f t="shared" si="396"/>
        <v>74234.53</v>
      </c>
      <c r="X347" s="103">
        <f t="shared" si="397"/>
        <v>74234.53</v>
      </c>
    </row>
    <row r="348" spans="1:24" ht="51">
      <c r="A348" s="11" t="s">
        <v>242</v>
      </c>
      <c r="B348" s="1" t="s">
        <v>41</v>
      </c>
      <c r="C348" s="1" t="s">
        <v>30</v>
      </c>
      <c r="D348" s="1" t="s">
        <v>3</v>
      </c>
      <c r="E348" s="1" t="s">
        <v>82</v>
      </c>
      <c r="F348" s="1" t="s">
        <v>70</v>
      </c>
      <c r="G348" s="1" t="s">
        <v>148</v>
      </c>
      <c r="H348" s="1" t="s">
        <v>219</v>
      </c>
      <c r="I348" s="13"/>
      <c r="J348" s="81">
        <f>J349+J351</f>
        <v>2725474.55</v>
      </c>
      <c r="K348" s="81">
        <f t="shared" ref="K348:L348" si="403">K349+K351</f>
        <v>2968520.68</v>
      </c>
      <c r="L348" s="81">
        <f t="shared" si="403"/>
        <v>3355604.01</v>
      </c>
      <c r="M348" s="81">
        <f t="shared" ref="M348:O348" si="404">M349+M351</f>
        <v>25008.1</v>
      </c>
      <c r="N348" s="81">
        <f t="shared" si="404"/>
        <v>-89112.14</v>
      </c>
      <c r="O348" s="81">
        <f t="shared" si="404"/>
        <v>-370390.75</v>
      </c>
      <c r="P348" s="81">
        <f t="shared" si="379"/>
        <v>2750482.65</v>
      </c>
      <c r="Q348" s="81">
        <f t="shared" si="380"/>
        <v>2879408.54</v>
      </c>
      <c r="R348" s="81">
        <f t="shared" si="381"/>
        <v>2985213.26</v>
      </c>
      <c r="S348" s="81">
        <f t="shared" ref="S348:U348" si="405">S349+S351</f>
        <v>0</v>
      </c>
      <c r="T348" s="81">
        <f t="shared" si="405"/>
        <v>0</v>
      </c>
      <c r="U348" s="81">
        <f t="shared" si="405"/>
        <v>0</v>
      </c>
      <c r="V348" s="81">
        <f t="shared" si="395"/>
        <v>2750482.65</v>
      </c>
      <c r="W348" s="81">
        <f t="shared" si="396"/>
        <v>2879408.54</v>
      </c>
      <c r="X348" s="81">
        <f t="shared" si="397"/>
        <v>2985213.26</v>
      </c>
    </row>
    <row r="349" spans="1:24" ht="38.25">
      <c r="A349" s="77" t="s">
        <v>96</v>
      </c>
      <c r="B349" s="1" t="s">
        <v>41</v>
      </c>
      <c r="C349" s="1" t="s">
        <v>30</v>
      </c>
      <c r="D349" s="1" t="s">
        <v>3</v>
      </c>
      <c r="E349" s="1" t="s">
        <v>82</v>
      </c>
      <c r="F349" s="1" t="s">
        <v>70</v>
      </c>
      <c r="G349" s="74" t="s">
        <v>148</v>
      </c>
      <c r="H349" s="1" t="s">
        <v>219</v>
      </c>
      <c r="I349" s="75" t="s">
        <v>92</v>
      </c>
      <c r="J349" s="103">
        <f>J350</f>
        <v>2550474.5499999998</v>
      </c>
      <c r="K349" s="103">
        <f t="shared" ref="K349:O349" si="406">K350</f>
        <v>2793520.68</v>
      </c>
      <c r="L349" s="103">
        <f t="shared" si="406"/>
        <v>3180604.01</v>
      </c>
      <c r="M349" s="103">
        <f t="shared" si="406"/>
        <v>25008.1</v>
      </c>
      <c r="N349" s="103">
        <f t="shared" si="406"/>
        <v>-89112.14</v>
      </c>
      <c r="O349" s="103">
        <f t="shared" si="406"/>
        <v>-370390.75</v>
      </c>
      <c r="P349" s="103">
        <f t="shared" si="379"/>
        <v>2575482.65</v>
      </c>
      <c r="Q349" s="103">
        <f t="shared" si="380"/>
        <v>2704408.54</v>
      </c>
      <c r="R349" s="103">
        <f t="shared" si="381"/>
        <v>2810213.26</v>
      </c>
      <c r="S349" s="103">
        <f t="shared" ref="S349:U349" si="407">S350</f>
        <v>0</v>
      </c>
      <c r="T349" s="103">
        <f t="shared" si="407"/>
        <v>0</v>
      </c>
      <c r="U349" s="103">
        <f t="shared" si="407"/>
        <v>0</v>
      </c>
      <c r="V349" s="103">
        <f t="shared" si="395"/>
        <v>2575482.65</v>
      </c>
      <c r="W349" s="103">
        <f t="shared" si="396"/>
        <v>2704408.54</v>
      </c>
      <c r="X349" s="103">
        <f t="shared" si="397"/>
        <v>2810213.26</v>
      </c>
    </row>
    <row r="350" spans="1:24">
      <c r="A350" s="77" t="s">
        <v>103</v>
      </c>
      <c r="B350" s="1" t="s">
        <v>41</v>
      </c>
      <c r="C350" s="1" t="s">
        <v>30</v>
      </c>
      <c r="D350" s="1" t="s">
        <v>3</v>
      </c>
      <c r="E350" s="1" t="s">
        <v>82</v>
      </c>
      <c r="F350" s="1" t="s">
        <v>70</v>
      </c>
      <c r="G350" s="74" t="s">
        <v>148</v>
      </c>
      <c r="H350" s="1" t="s">
        <v>219</v>
      </c>
      <c r="I350" s="75" t="s">
        <v>102</v>
      </c>
      <c r="J350" s="103">
        <f>2500474.55+50000</f>
        <v>2550474.5499999998</v>
      </c>
      <c r="K350" s="103">
        <f>2743520.68+50000</f>
        <v>2793520.68</v>
      </c>
      <c r="L350" s="103">
        <f>3130604.01+50000</f>
        <v>3180604.01</v>
      </c>
      <c r="M350" s="103">
        <v>25008.1</v>
      </c>
      <c r="N350" s="103">
        <v>-89112.14</v>
      </c>
      <c r="O350" s="103">
        <v>-370390.75</v>
      </c>
      <c r="P350" s="103">
        <f t="shared" si="379"/>
        <v>2575482.65</v>
      </c>
      <c r="Q350" s="103">
        <f t="shared" si="380"/>
        <v>2704408.54</v>
      </c>
      <c r="R350" s="103">
        <f t="shared" si="381"/>
        <v>2810213.26</v>
      </c>
      <c r="S350" s="103"/>
      <c r="T350" s="103"/>
      <c r="U350" s="103"/>
      <c r="V350" s="103">
        <f t="shared" si="395"/>
        <v>2575482.65</v>
      </c>
      <c r="W350" s="103">
        <f t="shared" si="396"/>
        <v>2704408.54</v>
      </c>
      <c r="X350" s="103">
        <f t="shared" si="397"/>
        <v>2810213.26</v>
      </c>
    </row>
    <row r="351" spans="1:24" ht="25.5">
      <c r="A351" s="78" t="s">
        <v>260</v>
      </c>
      <c r="B351" s="1" t="s">
        <v>41</v>
      </c>
      <c r="C351" s="1" t="s">
        <v>30</v>
      </c>
      <c r="D351" s="1" t="s">
        <v>3</v>
      </c>
      <c r="E351" s="1" t="s">
        <v>82</v>
      </c>
      <c r="F351" s="1" t="s">
        <v>70</v>
      </c>
      <c r="G351" s="74" t="s">
        <v>148</v>
      </c>
      <c r="H351" s="1" t="s">
        <v>219</v>
      </c>
      <c r="I351" s="75" t="s">
        <v>94</v>
      </c>
      <c r="J351" s="103">
        <f>J352</f>
        <v>175000</v>
      </c>
      <c r="K351" s="103">
        <f t="shared" ref="K351:O351" si="408">K352</f>
        <v>175000</v>
      </c>
      <c r="L351" s="103">
        <f t="shared" si="408"/>
        <v>175000</v>
      </c>
      <c r="M351" s="103">
        <f t="shared" si="408"/>
        <v>0</v>
      </c>
      <c r="N351" s="103">
        <f t="shared" si="408"/>
        <v>0</v>
      </c>
      <c r="O351" s="103">
        <f t="shared" si="408"/>
        <v>0</v>
      </c>
      <c r="P351" s="103">
        <f t="shared" si="379"/>
        <v>175000</v>
      </c>
      <c r="Q351" s="103">
        <f t="shared" si="380"/>
        <v>175000</v>
      </c>
      <c r="R351" s="103">
        <f t="shared" si="381"/>
        <v>175000</v>
      </c>
      <c r="S351" s="103">
        <f t="shared" ref="S351:U351" si="409">S352</f>
        <v>0</v>
      </c>
      <c r="T351" s="103">
        <f t="shared" si="409"/>
        <v>0</v>
      </c>
      <c r="U351" s="103">
        <f t="shared" si="409"/>
        <v>0</v>
      </c>
      <c r="V351" s="103">
        <f t="shared" si="395"/>
        <v>175000</v>
      </c>
      <c r="W351" s="103">
        <f t="shared" si="396"/>
        <v>175000</v>
      </c>
      <c r="X351" s="103">
        <f t="shared" si="397"/>
        <v>175000</v>
      </c>
    </row>
    <row r="352" spans="1:24" ht="25.5">
      <c r="A352" s="77" t="s">
        <v>98</v>
      </c>
      <c r="B352" s="1" t="s">
        <v>41</v>
      </c>
      <c r="C352" s="1" t="s">
        <v>30</v>
      </c>
      <c r="D352" s="1" t="s">
        <v>3</v>
      </c>
      <c r="E352" s="1" t="s">
        <v>82</v>
      </c>
      <c r="F352" s="1" t="s">
        <v>70</v>
      </c>
      <c r="G352" s="74" t="s">
        <v>148</v>
      </c>
      <c r="H352" s="1" t="s">
        <v>219</v>
      </c>
      <c r="I352" s="75" t="s">
        <v>95</v>
      </c>
      <c r="J352" s="103">
        <v>175000</v>
      </c>
      <c r="K352" s="103">
        <v>175000</v>
      </c>
      <c r="L352" s="103">
        <v>175000</v>
      </c>
      <c r="M352" s="103"/>
      <c r="N352" s="103"/>
      <c r="O352" s="103"/>
      <c r="P352" s="103">
        <f t="shared" si="379"/>
        <v>175000</v>
      </c>
      <c r="Q352" s="103">
        <f t="shared" si="380"/>
        <v>175000</v>
      </c>
      <c r="R352" s="103">
        <f t="shared" si="381"/>
        <v>175000</v>
      </c>
      <c r="S352" s="103"/>
      <c r="T352" s="103"/>
      <c r="U352" s="103"/>
      <c r="V352" s="103">
        <f t="shared" si="395"/>
        <v>175000</v>
      </c>
      <c r="W352" s="103">
        <f t="shared" si="396"/>
        <v>175000</v>
      </c>
      <c r="X352" s="103">
        <f t="shared" si="397"/>
        <v>175000</v>
      </c>
    </row>
    <row r="353" spans="1:24">
      <c r="A353" s="77"/>
      <c r="B353" s="1"/>
      <c r="C353" s="1"/>
      <c r="D353" s="1"/>
      <c r="E353" s="1"/>
      <c r="F353" s="1"/>
      <c r="G353" s="74"/>
      <c r="H353" s="1"/>
      <c r="I353" s="75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</row>
    <row r="354" spans="1:24" s="133" customFormat="1" ht="38.25">
      <c r="A354" s="129" t="s">
        <v>407</v>
      </c>
      <c r="B354" s="130" t="s">
        <v>272</v>
      </c>
      <c r="C354" s="140"/>
      <c r="D354" s="140"/>
      <c r="E354" s="140"/>
      <c r="F354" s="140"/>
      <c r="G354" s="140"/>
      <c r="H354" s="131"/>
      <c r="I354" s="141"/>
      <c r="J354" s="132">
        <f>J355+J370+J383</f>
        <v>16372812</v>
      </c>
      <c r="K354" s="132">
        <f t="shared" ref="K354:L354" si="410">K355+K370+K383</f>
        <v>16138282.58</v>
      </c>
      <c r="L354" s="132">
        <f t="shared" si="410"/>
        <v>16285421.079999998</v>
      </c>
      <c r="M354" s="132">
        <f t="shared" ref="M354:O354" si="411">M355+M370+M383</f>
        <v>494267</v>
      </c>
      <c r="N354" s="132">
        <f t="shared" si="411"/>
        <v>-109962.32</v>
      </c>
      <c r="O354" s="132">
        <f t="shared" si="411"/>
        <v>-114360.81</v>
      </c>
      <c r="P354" s="132">
        <f t="shared" si="379"/>
        <v>16867079</v>
      </c>
      <c r="Q354" s="132">
        <f t="shared" si="380"/>
        <v>16028320.26</v>
      </c>
      <c r="R354" s="132">
        <f t="shared" si="381"/>
        <v>16171060.269999998</v>
      </c>
      <c r="S354" s="132">
        <f t="shared" ref="S354:U354" si="412">S355+S370+S383</f>
        <v>59864.34</v>
      </c>
      <c r="T354" s="132">
        <f t="shared" si="412"/>
        <v>0</v>
      </c>
      <c r="U354" s="132">
        <f t="shared" si="412"/>
        <v>0</v>
      </c>
      <c r="V354" s="132">
        <f t="shared" ref="V354:V368" si="413">P354+S354</f>
        <v>16926943.34</v>
      </c>
      <c r="W354" s="132">
        <f t="shared" ref="W354:W368" si="414">Q354+T354</f>
        <v>16028320.26</v>
      </c>
      <c r="X354" s="132">
        <f t="shared" ref="X354:X368" si="415">R354+U354</f>
        <v>16171060.269999998</v>
      </c>
    </row>
    <row r="355" spans="1:24" ht="15.75">
      <c r="A355" s="24" t="s">
        <v>32</v>
      </c>
      <c r="B355" s="125" t="s">
        <v>272</v>
      </c>
      <c r="C355" s="126" t="s">
        <v>20</v>
      </c>
      <c r="D355" s="126"/>
      <c r="E355" s="126"/>
      <c r="F355" s="126"/>
      <c r="G355" s="126"/>
      <c r="H355" s="126"/>
      <c r="I355" s="127"/>
      <c r="J355" s="128">
        <f>J356</f>
        <v>11915079</v>
      </c>
      <c r="K355" s="128">
        <f t="shared" ref="K355:O356" si="416">K356</f>
        <v>12026760.26</v>
      </c>
      <c r="L355" s="128">
        <f t="shared" si="416"/>
        <v>12039557.869999999</v>
      </c>
      <c r="M355" s="128">
        <f t="shared" si="416"/>
        <v>0</v>
      </c>
      <c r="N355" s="128">
        <f t="shared" si="416"/>
        <v>0</v>
      </c>
      <c r="O355" s="128">
        <f t="shared" si="416"/>
        <v>0</v>
      </c>
      <c r="P355" s="128">
        <f t="shared" si="379"/>
        <v>11915079</v>
      </c>
      <c r="Q355" s="128">
        <f t="shared" si="380"/>
        <v>12026760.26</v>
      </c>
      <c r="R355" s="128">
        <f t="shared" si="381"/>
        <v>12039557.869999999</v>
      </c>
      <c r="S355" s="128">
        <f t="shared" ref="S355:U356" si="417">S356</f>
        <v>0</v>
      </c>
      <c r="T355" s="128">
        <f t="shared" si="417"/>
        <v>0</v>
      </c>
      <c r="U355" s="128">
        <f t="shared" si="417"/>
        <v>0</v>
      </c>
      <c r="V355" s="128">
        <f t="shared" si="413"/>
        <v>11915079</v>
      </c>
      <c r="W355" s="128">
        <f t="shared" si="414"/>
        <v>12026760.26</v>
      </c>
      <c r="X355" s="128">
        <f t="shared" si="415"/>
        <v>12039557.869999999</v>
      </c>
    </row>
    <row r="356" spans="1:24">
      <c r="A356" s="4" t="s">
        <v>1</v>
      </c>
      <c r="B356" s="14" t="s">
        <v>272</v>
      </c>
      <c r="C356" s="14" t="s">
        <v>20</v>
      </c>
      <c r="D356" s="14" t="s">
        <v>49</v>
      </c>
      <c r="E356" s="14"/>
      <c r="F356" s="14"/>
      <c r="G356" s="14"/>
      <c r="H356" s="1"/>
      <c r="I356" s="13"/>
      <c r="J356" s="101">
        <f>J357</f>
        <v>11915079</v>
      </c>
      <c r="K356" s="101">
        <f t="shared" si="416"/>
        <v>12026760.26</v>
      </c>
      <c r="L356" s="101">
        <f t="shared" si="416"/>
        <v>12039557.869999999</v>
      </c>
      <c r="M356" s="101">
        <f t="shared" si="416"/>
        <v>0</v>
      </c>
      <c r="N356" s="101">
        <f t="shared" si="416"/>
        <v>0</v>
      </c>
      <c r="O356" s="101">
        <f t="shared" si="416"/>
        <v>0</v>
      </c>
      <c r="P356" s="101">
        <f t="shared" si="379"/>
        <v>11915079</v>
      </c>
      <c r="Q356" s="101">
        <f t="shared" si="380"/>
        <v>12026760.26</v>
      </c>
      <c r="R356" s="101">
        <f t="shared" si="381"/>
        <v>12039557.869999999</v>
      </c>
      <c r="S356" s="101">
        <f t="shared" si="417"/>
        <v>0</v>
      </c>
      <c r="T356" s="101">
        <f t="shared" si="417"/>
        <v>0</v>
      </c>
      <c r="U356" s="101">
        <f t="shared" si="417"/>
        <v>0</v>
      </c>
      <c r="V356" s="101">
        <f t="shared" si="413"/>
        <v>11915079</v>
      </c>
      <c r="W356" s="101">
        <f t="shared" si="414"/>
        <v>12026760.26</v>
      </c>
      <c r="X356" s="101">
        <f t="shared" si="415"/>
        <v>12039557.869999999</v>
      </c>
    </row>
    <row r="357" spans="1:24" ht="38.25">
      <c r="A357" s="2" t="s">
        <v>287</v>
      </c>
      <c r="B357" s="1" t="s">
        <v>272</v>
      </c>
      <c r="C357" s="1" t="s">
        <v>20</v>
      </c>
      <c r="D357" s="1" t="s">
        <v>49</v>
      </c>
      <c r="E357" s="1" t="s">
        <v>14</v>
      </c>
      <c r="F357" s="1" t="s">
        <v>70</v>
      </c>
      <c r="G357" s="1" t="s">
        <v>148</v>
      </c>
      <c r="H357" s="1" t="s">
        <v>149</v>
      </c>
      <c r="I357" s="13"/>
      <c r="J357" s="81">
        <f>J358+J366+J363</f>
        <v>11915079</v>
      </c>
      <c r="K357" s="81">
        <f t="shared" ref="K357:L357" si="418">K358+K366+K363</f>
        <v>12026760.26</v>
      </c>
      <c r="L357" s="81">
        <f t="shared" si="418"/>
        <v>12039557.869999999</v>
      </c>
      <c r="M357" s="81">
        <f t="shared" ref="M357:O357" si="419">M358+M366+M363</f>
        <v>0</v>
      </c>
      <c r="N357" s="81">
        <f t="shared" si="419"/>
        <v>0</v>
      </c>
      <c r="O357" s="81">
        <f t="shared" si="419"/>
        <v>0</v>
      </c>
      <c r="P357" s="81">
        <f t="shared" si="379"/>
        <v>11915079</v>
      </c>
      <c r="Q357" s="81">
        <f t="shared" si="380"/>
        <v>12026760.26</v>
      </c>
      <c r="R357" s="81">
        <f t="shared" si="381"/>
        <v>12039557.869999999</v>
      </c>
      <c r="S357" s="81">
        <f t="shared" ref="S357:U357" si="420">S358+S366+S363</f>
        <v>0</v>
      </c>
      <c r="T357" s="81">
        <f t="shared" si="420"/>
        <v>0</v>
      </c>
      <c r="U357" s="81">
        <f t="shared" si="420"/>
        <v>0</v>
      </c>
      <c r="V357" s="81">
        <f t="shared" si="413"/>
        <v>11915079</v>
      </c>
      <c r="W357" s="81">
        <f t="shared" si="414"/>
        <v>12026760.26</v>
      </c>
      <c r="X357" s="81">
        <f t="shared" si="415"/>
        <v>12039557.869999999</v>
      </c>
    </row>
    <row r="358" spans="1:24" ht="25.5">
      <c r="A358" s="11" t="s">
        <v>87</v>
      </c>
      <c r="B358" s="1" t="s">
        <v>272</v>
      </c>
      <c r="C358" s="1" t="s">
        <v>20</v>
      </c>
      <c r="D358" s="1" t="s">
        <v>49</v>
      </c>
      <c r="E358" s="1" t="s">
        <v>14</v>
      </c>
      <c r="F358" s="1" t="s">
        <v>70</v>
      </c>
      <c r="G358" s="1" t="s">
        <v>148</v>
      </c>
      <c r="H358" s="1" t="s">
        <v>158</v>
      </c>
      <c r="I358" s="13"/>
      <c r="J358" s="81">
        <f>J359+J361</f>
        <v>11773079</v>
      </c>
      <c r="K358" s="81">
        <f t="shared" ref="K358:L358" si="421">K359+K361</f>
        <v>11884760.26</v>
      </c>
      <c r="L358" s="81">
        <f t="shared" si="421"/>
        <v>11897557.869999999</v>
      </c>
      <c r="M358" s="81">
        <f t="shared" ref="M358:O358" si="422">M359+M361</f>
        <v>0</v>
      </c>
      <c r="N358" s="81">
        <f t="shared" si="422"/>
        <v>0</v>
      </c>
      <c r="O358" s="81">
        <f t="shared" si="422"/>
        <v>0</v>
      </c>
      <c r="P358" s="81">
        <f t="shared" si="379"/>
        <v>11773079</v>
      </c>
      <c r="Q358" s="81">
        <f t="shared" si="380"/>
        <v>11884760.26</v>
      </c>
      <c r="R358" s="81">
        <f t="shared" si="381"/>
        <v>11897557.869999999</v>
      </c>
      <c r="S358" s="81">
        <f t="shared" ref="S358:U358" si="423">S359+S361</f>
        <v>0</v>
      </c>
      <c r="T358" s="81">
        <f t="shared" si="423"/>
        <v>0</v>
      </c>
      <c r="U358" s="81">
        <f t="shared" si="423"/>
        <v>0</v>
      </c>
      <c r="V358" s="81">
        <f t="shared" si="413"/>
        <v>11773079</v>
      </c>
      <c r="W358" s="81">
        <f t="shared" si="414"/>
        <v>11884760.26</v>
      </c>
      <c r="X358" s="81">
        <f t="shared" si="415"/>
        <v>11897557.869999999</v>
      </c>
    </row>
    <row r="359" spans="1:24" ht="38.25">
      <c r="A359" s="77" t="s">
        <v>96</v>
      </c>
      <c r="B359" s="1" t="s">
        <v>272</v>
      </c>
      <c r="C359" s="1" t="s">
        <v>20</v>
      </c>
      <c r="D359" s="1" t="s">
        <v>49</v>
      </c>
      <c r="E359" s="1" t="s">
        <v>14</v>
      </c>
      <c r="F359" s="1" t="s">
        <v>70</v>
      </c>
      <c r="G359" s="1" t="s">
        <v>148</v>
      </c>
      <c r="H359" s="1" t="s">
        <v>158</v>
      </c>
      <c r="I359" s="13" t="s">
        <v>92</v>
      </c>
      <c r="J359" s="81">
        <f>J360</f>
        <v>11393079</v>
      </c>
      <c r="K359" s="81">
        <f t="shared" ref="K359:O359" si="424">K360</f>
        <v>11504760.26</v>
      </c>
      <c r="L359" s="81">
        <f t="shared" si="424"/>
        <v>11517557.869999999</v>
      </c>
      <c r="M359" s="81">
        <f t="shared" si="424"/>
        <v>0</v>
      </c>
      <c r="N359" s="81">
        <f t="shared" si="424"/>
        <v>0</v>
      </c>
      <c r="O359" s="81">
        <f t="shared" si="424"/>
        <v>0</v>
      </c>
      <c r="P359" s="81">
        <f t="shared" si="379"/>
        <v>11393079</v>
      </c>
      <c r="Q359" s="81">
        <f t="shared" si="380"/>
        <v>11504760.26</v>
      </c>
      <c r="R359" s="81">
        <f t="shared" si="381"/>
        <v>11517557.869999999</v>
      </c>
      <c r="S359" s="81">
        <f t="shared" ref="S359:U359" si="425">S360</f>
        <v>0</v>
      </c>
      <c r="T359" s="81">
        <f t="shared" si="425"/>
        <v>0</v>
      </c>
      <c r="U359" s="81">
        <f t="shared" si="425"/>
        <v>0</v>
      </c>
      <c r="V359" s="81">
        <f t="shared" si="413"/>
        <v>11393079</v>
      </c>
      <c r="W359" s="81">
        <f t="shared" si="414"/>
        <v>11504760.26</v>
      </c>
      <c r="X359" s="81">
        <f t="shared" si="415"/>
        <v>11517557.869999999</v>
      </c>
    </row>
    <row r="360" spans="1:24">
      <c r="A360" s="77" t="s">
        <v>103</v>
      </c>
      <c r="B360" s="1" t="s">
        <v>272</v>
      </c>
      <c r="C360" s="1" t="s">
        <v>20</v>
      </c>
      <c r="D360" s="1" t="s">
        <v>49</v>
      </c>
      <c r="E360" s="1" t="s">
        <v>14</v>
      </c>
      <c r="F360" s="1" t="s">
        <v>70</v>
      </c>
      <c r="G360" s="1" t="s">
        <v>148</v>
      </c>
      <c r="H360" s="1" t="s">
        <v>158</v>
      </c>
      <c r="I360" s="13" t="s">
        <v>102</v>
      </c>
      <c r="J360" s="81">
        <v>11393079</v>
      </c>
      <c r="K360" s="81">
        <v>11504760.26</v>
      </c>
      <c r="L360" s="81">
        <v>11517557.869999999</v>
      </c>
      <c r="M360" s="81"/>
      <c r="N360" s="81"/>
      <c r="O360" s="81"/>
      <c r="P360" s="81">
        <f t="shared" si="379"/>
        <v>11393079</v>
      </c>
      <c r="Q360" s="81">
        <f t="shared" si="380"/>
        <v>11504760.26</v>
      </c>
      <c r="R360" s="81">
        <f t="shared" si="381"/>
        <v>11517557.869999999</v>
      </c>
      <c r="S360" s="81"/>
      <c r="T360" s="81"/>
      <c r="U360" s="81"/>
      <c r="V360" s="81">
        <f t="shared" si="413"/>
        <v>11393079</v>
      </c>
      <c r="W360" s="81">
        <f t="shared" si="414"/>
        <v>11504760.26</v>
      </c>
      <c r="X360" s="81">
        <f t="shared" si="415"/>
        <v>11517557.869999999</v>
      </c>
    </row>
    <row r="361" spans="1:24" ht="25.5">
      <c r="A361" s="78" t="s">
        <v>260</v>
      </c>
      <c r="B361" s="1" t="s">
        <v>272</v>
      </c>
      <c r="C361" s="1" t="s">
        <v>20</v>
      </c>
      <c r="D361" s="1" t="s">
        <v>49</v>
      </c>
      <c r="E361" s="1" t="s">
        <v>14</v>
      </c>
      <c r="F361" s="1" t="s">
        <v>70</v>
      </c>
      <c r="G361" s="1" t="s">
        <v>148</v>
      </c>
      <c r="H361" s="1" t="s">
        <v>158</v>
      </c>
      <c r="I361" s="13" t="s">
        <v>94</v>
      </c>
      <c r="J361" s="81">
        <f>J362</f>
        <v>380000</v>
      </c>
      <c r="K361" s="81">
        <f t="shared" ref="K361:O361" si="426">K362</f>
        <v>380000</v>
      </c>
      <c r="L361" s="81">
        <f t="shared" si="426"/>
        <v>380000</v>
      </c>
      <c r="M361" s="81">
        <f t="shared" si="426"/>
        <v>0</v>
      </c>
      <c r="N361" s="81">
        <f t="shared" si="426"/>
        <v>0</v>
      </c>
      <c r="O361" s="81">
        <f t="shared" si="426"/>
        <v>0</v>
      </c>
      <c r="P361" s="81">
        <f t="shared" si="379"/>
        <v>380000</v>
      </c>
      <c r="Q361" s="81">
        <f t="shared" si="380"/>
        <v>380000</v>
      </c>
      <c r="R361" s="81">
        <f t="shared" si="381"/>
        <v>380000</v>
      </c>
      <c r="S361" s="81">
        <f t="shared" ref="S361:U361" si="427">S362</f>
        <v>0</v>
      </c>
      <c r="T361" s="81">
        <f t="shared" si="427"/>
        <v>0</v>
      </c>
      <c r="U361" s="81">
        <f t="shared" si="427"/>
        <v>0</v>
      </c>
      <c r="V361" s="81">
        <f t="shared" si="413"/>
        <v>380000</v>
      </c>
      <c r="W361" s="81">
        <f t="shared" si="414"/>
        <v>380000</v>
      </c>
      <c r="X361" s="81">
        <f t="shared" si="415"/>
        <v>380000</v>
      </c>
    </row>
    <row r="362" spans="1:24" ht="25.5">
      <c r="A362" s="77" t="s">
        <v>98</v>
      </c>
      <c r="B362" s="1" t="s">
        <v>272</v>
      </c>
      <c r="C362" s="1" t="s">
        <v>20</v>
      </c>
      <c r="D362" s="1" t="s">
        <v>49</v>
      </c>
      <c r="E362" s="1" t="s">
        <v>14</v>
      </c>
      <c r="F362" s="1" t="s">
        <v>70</v>
      </c>
      <c r="G362" s="1" t="s">
        <v>148</v>
      </c>
      <c r="H362" s="1" t="s">
        <v>158</v>
      </c>
      <c r="I362" s="13" t="s">
        <v>95</v>
      </c>
      <c r="J362" s="81">
        <v>380000</v>
      </c>
      <c r="K362" s="81">
        <v>380000</v>
      </c>
      <c r="L362" s="81">
        <v>380000</v>
      </c>
      <c r="M362" s="81"/>
      <c r="N362" s="81"/>
      <c r="O362" s="81"/>
      <c r="P362" s="81">
        <f t="shared" si="379"/>
        <v>380000</v>
      </c>
      <c r="Q362" s="81">
        <f t="shared" si="380"/>
        <v>380000</v>
      </c>
      <c r="R362" s="81">
        <f t="shared" si="381"/>
        <v>380000</v>
      </c>
      <c r="S362" s="81"/>
      <c r="T362" s="81"/>
      <c r="U362" s="81"/>
      <c r="V362" s="81">
        <f t="shared" si="413"/>
        <v>380000</v>
      </c>
      <c r="W362" s="81">
        <f t="shared" si="414"/>
        <v>380000</v>
      </c>
      <c r="X362" s="81">
        <f t="shared" si="415"/>
        <v>380000</v>
      </c>
    </row>
    <row r="363" spans="1:24" ht="25.5">
      <c r="A363" s="77" t="s">
        <v>324</v>
      </c>
      <c r="B363" s="1" t="s">
        <v>272</v>
      </c>
      <c r="C363" s="1" t="s">
        <v>20</v>
      </c>
      <c r="D363" s="1" t="s">
        <v>49</v>
      </c>
      <c r="E363" s="1" t="s">
        <v>14</v>
      </c>
      <c r="F363" s="1" t="s">
        <v>70</v>
      </c>
      <c r="G363" s="1" t="s">
        <v>148</v>
      </c>
      <c r="H363" s="1" t="s">
        <v>323</v>
      </c>
      <c r="I363" s="13"/>
      <c r="J363" s="81">
        <f>J364</f>
        <v>100000</v>
      </c>
      <c r="K363" s="81">
        <f t="shared" ref="K363:O364" si="428">K364</f>
        <v>100000</v>
      </c>
      <c r="L363" s="81">
        <f t="shared" si="428"/>
        <v>100000</v>
      </c>
      <c r="M363" s="81">
        <f t="shared" si="428"/>
        <v>0</v>
      </c>
      <c r="N363" s="81">
        <f t="shared" si="428"/>
        <v>0</v>
      </c>
      <c r="O363" s="81">
        <f t="shared" si="428"/>
        <v>0</v>
      </c>
      <c r="P363" s="81">
        <f t="shared" si="379"/>
        <v>100000</v>
      </c>
      <c r="Q363" s="81">
        <f t="shared" si="380"/>
        <v>100000</v>
      </c>
      <c r="R363" s="81">
        <f t="shared" si="381"/>
        <v>100000</v>
      </c>
      <c r="S363" s="81">
        <f t="shared" ref="S363:U364" si="429">S364</f>
        <v>0</v>
      </c>
      <c r="T363" s="81">
        <f t="shared" si="429"/>
        <v>0</v>
      </c>
      <c r="U363" s="81">
        <f t="shared" si="429"/>
        <v>0</v>
      </c>
      <c r="V363" s="81">
        <f t="shared" si="413"/>
        <v>100000</v>
      </c>
      <c r="W363" s="81">
        <f t="shared" si="414"/>
        <v>100000</v>
      </c>
      <c r="X363" s="81">
        <f t="shared" si="415"/>
        <v>100000</v>
      </c>
    </row>
    <row r="364" spans="1:24" ht="25.5">
      <c r="A364" s="78" t="s">
        <v>260</v>
      </c>
      <c r="B364" s="1" t="s">
        <v>272</v>
      </c>
      <c r="C364" s="1" t="s">
        <v>20</v>
      </c>
      <c r="D364" s="1" t="s">
        <v>49</v>
      </c>
      <c r="E364" s="1" t="s">
        <v>14</v>
      </c>
      <c r="F364" s="1" t="s">
        <v>70</v>
      </c>
      <c r="G364" s="1" t="s">
        <v>148</v>
      </c>
      <c r="H364" s="1" t="s">
        <v>323</v>
      </c>
      <c r="I364" s="13" t="s">
        <v>94</v>
      </c>
      <c r="J364" s="81">
        <f>J365</f>
        <v>100000</v>
      </c>
      <c r="K364" s="81">
        <f t="shared" si="428"/>
        <v>100000</v>
      </c>
      <c r="L364" s="81">
        <f t="shared" si="428"/>
        <v>100000</v>
      </c>
      <c r="M364" s="81">
        <f t="shared" si="428"/>
        <v>0</v>
      </c>
      <c r="N364" s="81">
        <f t="shared" si="428"/>
        <v>0</v>
      </c>
      <c r="O364" s="81">
        <f t="shared" si="428"/>
        <v>0</v>
      </c>
      <c r="P364" s="81">
        <f t="shared" si="379"/>
        <v>100000</v>
      </c>
      <c r="Q364" s="81">
        <f t="shared" si="380"/>
        <v>100000</v>
      </c>
      <c r="R364" s="81">
        <f t="shared" si="381"/>
        <v>100000</v>
      </c>
      <c r="S364" s="81">
        <f t="shared" si="429"/>
        <v>0</v>
      </c>
      <c r="T364" s="81">
        <f t="shared" si="429"/>
        <v>0</v>
      </c>
      <c r="U364" s="81">
        <f t="shared" si="429"/>
        <v>0</v>
      </c>
      <c r="V364" s="81">
        <f t="shared" si="413"/>
        <v>100000</v>
      </c>
      <c r="W364" s="81">
        <f t="shared" si="414"/>
        <v>100000</v>
      </c>
      <c r="X364" s="81">
        <f t="shared" si="415"/>
        <v>100000</v>
      </c>
    </row>
    <row r="365" spans="1:24" ht="25.5">
      <c r="A365" s="77" t="s">
        <v>98</v>
      </c>
      <c r="B365" s="1" t="s">
        <v>272</v>
      </c>
      <c r="C365" s="1" t="s">
        <v>20</v>
      </c>
      <c r="D365" s="1" t="s">
        <v>49</v>
      </c>
      <c r="E365" s="1" t="s">
        <v>14</v>
      </c>
      <c r="F365" s="1" t="s">
        <v>70</v>
      </c>
      <c r="G365" s="1" t="s">
        <v>148</v>
      </c>
      <c r="H365" s="1" t="s">
        <v>323</v>
      </c>
      <c r="I365" s="13" t="s">
        <v>95</v>
      </c>
      <c r="J365" s="81">
        <v>100000</v>
      </c>
      <c r="K365" s="81">
        <v>100000</v>
      </c>
      <c r="L365" s="81">
        <v>100000</v>
      </c>
      <c r="M365" s="81"/>
      <c r="N365" s="81"/>
      <c r="O365" s="81"/>
      <c r="P365" s="81">
        <f t="shared" si="379"/>
        <v>100000</v>
      </c>
      <c r="Q365" s="81">
        <f t="shared" si="380"/>
        <v>100000</v>
      </c>
      <c r="R365" s="81">
        <f t="shared" si="381"/>
        <v>100000</v>
      </c>
      <c r="S365" s="81"/>
      <c r="T365" s="81"/>
      <c r="U365" s="81"/>
      <c r="V365" s="81">
        <f t="shared" si="413"/>
        <v>100000</v>
      </c>
      <c r="W365" s="81">
        <f t="shared" si="414"/>
        <v>100000</v>
      </c>
      <c r="X365" s="81">
        <f t="shared" si="415"/>
        <v>100000</v>
      </c>
    </row>
    <row r="366" spans="1:24" ht="42" customHeight="1">
      <c r="A366" s="2" t="s">
        <v>52</v>
      </c>
      <c r="B366" s="1" t="s">
        <v>272</v>
      </c>
      <c r="C366" s="1" t="s">
        <v>20</v>
      </c>
      <c r="D366" s="1" t="s">
        <v>49</v>
      </c>
      <c r="E366" s="1" t="s">
        <v>14</v>
      </c>
      <c r="F366" s="1" t="s">
        <v>70</v>
      </c>
      <c r="G366" s="1" t="s">
        <v>148</v>
      </c>
      <c r="H366" s="1" t="s">
        <v>175</v>
      </c>
      <c r="I366" s="13"/>
      <c r="J366" s="81">
        <f>J367</f>
        <v>42000</v>
      </c>
      <c r="K366" s="81">
        <f t="shared" ref="K366:O367" si="430">K367</f>
        <v>42000</v>
      </c>
      <c r="L366" s="81">
        <f t="shared" si="430"/>
        <v>42000</v>
      </c>
      <c r="M366" s="81">
        <f t="shared" si="430"/>
        <v>0</v>
      </c>
      <c r="N366" s="81">
        <f t="shared" si="430"/>
        <v>0</v>
      </c>
      <c r="O366" s="81">
        <f t="shared" si="430"/>
        <v>0</v>
      </c>
      <c r="P366" s="81">
        <f t="shared" si="379"/>
        <v>42000</v>
      </c>
      <c r="Q366" s="81">
        <f t="shared" si="380"/>
        <v>42000</v>
      </c>
      <c r="R366" s="81">
        <f t="shared" si="381"/>
        <v>42000</v>
      </c>
      <c r="S366" s="81">
        <f t="shared" ref="S366:U367" si="431">S367</f>
        <v>0</v>
      </c>
      <c r="T366" s="81">
        <f t="shared" si="431"/>
        <v>0</v>
      </c>
      <c r="U366" s="81">
        <f t="shared" si="431"/>
        <v>0</v>
      </c>
      <c r="V366" s="81">
        <f t="shared" si="413"/>
        <v>42000</v>
      </c>
      <c r="W366" s="81">
        <f t="shared" si="414"/>
        <v>42000</v>
      </c>
      <c r="X366" s="81">
        <f t="shared" si="415"/>
        <v>42000</v>
      </c>
    </row>
    <row r="367" spans="1:24" ht="25.5">
      <c r="A367" s="78" t="s">
        <v>260</v>
      </c>
      <c r="B367" s="1" t="s">
        <v>272</v>
      </c>
      <c r="C367" s="1" t="s">
        <v>20</v>
      </c>
      <c r="D367" s="1" t="s">
        <v>49</v>
      </c>
      <c r="E367" s="1" t="s">
        <v>14</v>
      </c>
      <c r="F367" s="1" t="s">
        <v>70</v>
      </c>
      <c r="G367" s="1" t="s">
        <v>148</v>
      </c>
      <c r="H367" s="1" t="s">
        <v>175</v>
      </c>
      <c r="I367" s="13" t="s">
        <v>94</v>
      </c>
      <c r="J367" s="81">
        <f>J368</f>
        <v>42000</v>
      </c>
      <c r="K367" s="81">
        <f t="shared" si="430"/>
        <v>42000</v>
      </c>
      <c r="L367" s="81">
        <f t="shared" si="430"/>
        <v>42000</v>
      </c>
      <c r="M367" s="81">
        <f t="shared" si="430"/>
        <v>0</v>
      </c>
      <c r="N367" s="81">
        <f t="shared" si="430"/>
        <v>0</v>
      </c>
      <c r="O367" s="81">
        <f t="shared" si="430"/>
        <v>0</v>
      </c>
      <c r="P367" s="81">
        <f t="shared" si="379"/>
        <v>42000</v>
      </c>
      <c r="Q367" s="81">
        <f t="shared" si="380"/>
        <v>42000</v>
      </c>
      <c r="R367" s="81">
        <f t="shared" si="381"/>
        <v>42000</v>
      </c>
      <c r="S367" s="81">
        <f t="shared" si="431"/>
        <v>0</v>
      </c>
      <c r="T367" s="81">
        <f t="shared" si="431"/>
        <v>0</v>
      </c>
      <c r="U367" s="81">
        <f t="shared" si="431"/>
        <v>0</v>
      </c>
      <c r="V367" s="81">
        <f t="shared" si="413"/>
        <v>42000</v>
      </c>
      <c r="W367" s="81">
        <f t="shared" si="414"/>
        <v>42000</v>
      </c>
      <c r="X367" s="81">
        <f t="shared" si="415"/>
        <v>42000</v>
      </c>
    </row>
    <row r="368" spans="1:24" ht="25.5">
      <c r="A368" s="77" t="s">
        <v>98</v>
      </c>
      <c r="B368" s="1" t="s">
        <v>272</v>
      </c>
      <c r="C368" s="1" t="s">
        <v>20</v>
      </c>
      <c r="D368" s="1" t="s">
        <v>49</v>
      </c>
      <c r="E368" s="1" t="s">
        <v>14</v>
      </c>
      <c r="F368" s="1" t="s">
        <v>70</v>
      </c>
      <c r="G368" s="1" t="s">
        <v>148</v>
      </c>
      <c r="H368" s="1" t="s">
        <v>175</v>
      </c>
      <c r="I368" s="13" t="s">
        <v>95</v>
      </c>
      <c r="J368" s="81">
        <v>42000</v>
      </c>
      <c r="K368" s="81">
        <v>42000</v>
      </c>
      <c r="L368" s="81">
        <v>42000</v>
      </c>
      <c r="M368" s="81"/>
      <c r="N368" s="81"/>
      <c r="O368" s="81"/>
      <c r="P368" s="81">
        <f t="shared" si="379"/>
        <v>42000</v>
      </c>
      <c r="Q368" s="81">
        <f t="shared" si="380"/>
        <v>42000</v>
      </c>
      <c r="R368" s="81">
        <f t="shared" si="381"/>
        <v>42000</v>
      </c>
      <c r="S368" s="81"/>
      <c r="T368" s="81"/>
      <c r="U368" s="81"/>
      <c r="V368" s="81">
        <f t="shared" si="413"/>
        <v>42000</v>
      </c>
      <c r="W368" s="81">
        <f t="shared" si="414"/>
        <v>42000</v>
      </c>
      <c r="X368" s="81">
        <f t="shared" si="415"/>
        <v>42000</v>
      </c>
    </row>
    <row r="369" spans="1:24">
      <c r="A369" s="77"/>
      <c r="B369" s="1"/>
      <c r="C369" s="1"/>
      <c r="D369" s="1"/>
      <c r="E369" s="1"/>
      <c r="F369" s="1"/>
      <c r="G369" s="1"/>
      <c r="H369" s="1"/>
      <c r="I369" s="13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</row>
    <row r="370" spans="1:24" ht="15.75">
      <c r="A370" s="24" t="s">
        <v>15</v>
      </c>
      <c r="B370" s="27" t="s">
        <v>272</v>
      </c>
      <c r="C370" s="27" t="s">
        <v>16</v>
      </c>
      <c r="D370" s="3"/>
      <c r="E370" s="3"/>
      <c r="F370" s="3"/>
      <c r="G370" s="3"/>
      <c r="H370" s="3"/>
      <c r="I370" s="16"/>
      <c r="J370" s="100">
        <f t="shared" ref="J370:O370" si="432">J377</f>
        <v>290000</v>
      </c>
      <c r="K370" s="100">
        <f t="shared" si="432"/>
        <v>70000</v>
      </c>
      <c r="L370" s="100">
        <f t="shared" si="432"/>
        <v>290000</v>
      </c>
      <c r="M370" s="100">
        <f t="shared" si="432"/>
        <v>0</v>
      </c>
      <c r="N370" s="100">
        <f t="shared" si="432"/>
        <v>0</v>
      </c>
      <c r="O370" s="100">
        <f t="shared" si="432"/>
        <v>0</v>
      </c>
      <c r="P370" s="100">
        <f t="shared" si="379"/>
        <v>290000</v>
      </c>
      <c r="Q370" s="100">
        <f t="shared" si="380"/>
        <v>70000</v>
      </c>
      <c r="R370" s="100">
        <f t="shared" si="381"/>
        <v>290000</v>
      </c>
      <c r="S370" s="100">
        <f>S371+S377</f>
        <v>21864.34</v>
      </c>
      <c r="T370" s="100">
        <f t="shared" ref="T370:U370" si="433">T371+T377</f>
        <v>0</v>
      </c>
      <c r="U370" s="100">
        <f t="shared" si="433"/>
        <v>0</v>
      </c>
      <c r="V370" s="100">
        <f t="shared" ref="V370:V381" si="434">P370+S370</f>
        <v>311864.34000000003</v>
      </c>
      <c r="W370" s="100">
        <f t="shared" ref="W370:W381" si="435">Q370+T370</f>
        <v>70000</v>
      </c>
      <c r="X370" s="100">
        <f t="shared" ref="X370:X381" si="436">R370+U370</f>
        <v>290000</v>
      </c>
    </row>
    <row r="371" spans="1:24" s="121" customFormat="1" ht="15.75">
      <c r="A371" s="4" t="s">
        <v>23</v>
      </c>
      <c r="B371" s="57" t="s">
        <v>272</v>
      </c>
      <c r="C371" s="57" t="s">
        <v>16</v>
      </c>
      <c r="D371" s="57" t="s">
        <v>27</v>
      </c>
      <c r="E371" s="57"/>
      <c r="F371" s="57"/>
      <c r="G371" s="57"/>
      <c r="H371" s="57"/>
      <c r="I371" s="15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1">
        <f>S372</f>
        <v>21864.34</v>
      </c>
      <c r="T371" s="101">
        <f t="shared" ref="T371:U374" si="437">T372</f>
        <v>0</v>
      </c>
      <c r="U371" s="101">
        <f t="shared" si="437"/>
        <v>0</v>
      </c>
      <c r="V371" s="101">
        <f t="shared" ref="V371:V375" si="438">P371+S371</f>
        <v>21864.34</v>
      </c>
      <c r="W371" s="101">
        <f t="shared" ref="W371:W375" si="439">Q371+T371</f>
        <v>0</v>
      </c>
      <c r="X371" s="101">
        <f t="shared" ref="X371:X375" si="440">R371+U371</f>
        <v>0</v>
      </c>
    </row>
    <row r="372" spans="1:24" ht="15.75">
      <c r="A372" s="7" t="s">
        <v>83</v>
      </c>
      <c r="B372" s="3" t="s">
        <v>272</v>
      </c>
      <c r="C372" s="3" t="s">
        <v>16</v>
      </c>
      <c r="D372" s="3" t="s">
        <v>27</v>
      </c>
      <c r="E372" s="3" t="s">
        <v>82</v>
      </c>
      <c r="F372" s="3" t="s">
        <v>70</v>
      </c>
      <c r="G372" s="3" t="s">
        <v>148</v>
      </c>
      <c r="H372" s="3" t="s">
        <v>149</v>
      </c>
      <c r="I372" s="16"/>
      <c r="J372" s="100"/>
      <c r="K372" s="100"/>
      <c r="L372" s="100"/>
      <c r="M372" s="100"/>
      <c r="N372" s="100"/>
      <c r="O372" s="100"/>
      <c r="P372" s="100"/>
      <c r="Q372" s="100"/>
      <c r="R372" s="100"/>
      <c r="S372" s="81">
        <f>S373</f>
        <v>21864.34</v>
      </c>
      <c r="T372" s="81">
        <f t="shared" si="437"/>
        <v>0</v>
      </c>
      <c r="U372" s="81">
        <f t="shared" si="437"/>
        <v>0</v>
      </c>
      <c r="V372" s="102">
        <f t="shared" si="438"/>
        <v>21864.34</v>
      </c>
      <c r="W372" s="102">
        <f t="shared" si="439"/>
        <v>0</v>
      </c>
      <c r="X372" s="102">
        <f t="shared" si="440"/>
        <v>0</v>
      </c>
    </row>
    <row r="373" spans="1:24" ht="15.75">
      <c r="A373" s="2" t="s">
        <v>473</v>
      </c>
      <c r="B373" s="3" t="s">
        <v>272</v>
      </c>
      <c r="C373" s="3" t="s">
        <v>16</v>
      </c>
      <c r="D373" s="3" t="s">
        <v>27</v>
      </c>
      <c r="E373" s="3" t="s">
        <v>82</v>
      </c>
      <c r="F373" s="3" t="s">
        <v>70</v>
      </c>
      <c r="G373" s="3" t="s">
        <v>148</v>
      </c>
      <c r="H373" s="3" t="s">
        <v>472</v>
      </c>
      <c r="I373" s="16"/>
      <c r="J373" s="100"/>
      <c r="K373" s="100"/>
      <c r="L373" s="100"/>
      <c r="M373" s="100"/>
      <c r="N373" s="100"/>
      <c r="O373" s="100"/>
      <c r="P373" s="100"/>
      <c r="Q373" s="100"/>
      <c r="R373" s="100"/>
      <c r="S373" s="81">
        <f>S374</f>
        <v>21864.34</v>
      </c>
      <c r="T373" s="81">
        <f t="shared" si="437"/>
        <v>0</v>
      </c>
      <c r="U373" s="81">
        <f t="shared" si="437"/>
        <v>0</v>
      </c>
      <c r="V373" s="102">
        <f t="shared" si="438"/>
        <v>21864.34</v>
      </c>
      <c r="W373" s="102">
        <f t="shared" si="439"/>
        <v>0</v>
      </c>
      <c r="X373" s="102">
        <f t="shared" si="440"/>
        <v>0</v>
      </c>
    </row>
    <row r="374" spans="1:24" ht="25.5">
      <c r="A374" s="78" t="s">
        <v>260</v>
      </c>
      <c r="B374" s="3" t="s">
        <v>272</v>
      </c>
      <c r="C374" s="3" t="s">
        <v>16</v>
      </c>
      <c r="D374" s="3" t="s">
        <v>27</v>
      </c>
      <c r="E374" s="3" t="s">
        <v>82</v>
      </c>
      <c r="F374" s="3" t="s">
        <v>70</v>
      </c>
      <c r="G374" s="3" t="s">
        <v>148</v>
      </c>
      <c r="H374" s="3" t="s">
        <v>472</v>
      </c>
      <c r="I374" s="16" t="s">
        <v>94</v>
      </c>
      <c r="J374" s="100"/>
      <c r="K374" s="100"/>
      <c r="L374" s="100"/>
      <c r="M374" s="100"/>
      <c r="N374" s="100"/>
      <c r="O374" s="100"/>
      <c r="P374" s="100"/>
      <c r="Q374" s="100"/>
      <c r="R374" s="100"/>
      <c r="S374" s="81">
        <f>S375</f>
        <v>21864.34</v>
      </c>
      <c r="T374" s="81">
        <f t="shared" si="437"/>
        <v>0</v>
      </c>
      <c r="U374" s="81">
        <f t="shared" si="437"/>
        <v>0</v>
      </c>
      <c r="V374" s="102">
        <f t="shared" si="438"/>
        <v>21864.34</v>
      </c>
      <c r="W374" s="102">
        <f t="shared" si="439"/>
        <v>0</v>
      </c>
      <c r="X374" s="102">
        <f t="shared" si="440"/>
        <v>0</v>
      </c>
    </row>
    <row r="375" spans="1:24" ht="25.5">
      <c r="A375" s="77" t="s">
        <v>98</v>
      </c>
      <c r="B375" s="3" t="s">
        <v>272</v>
      </c>
      <c r="C375" s="3" t="s">
        <v>16</v>
      </c>
      <c r="D375" s="3" t="s">
        <v>27</v>
      </c>
      <c r="E375" s="3" t="s">
        <v>82</v>
      </c>
      <c r="F375" s="3" t="s">
        <v>70</v>
      </c>
      <c r="G375" s="3" t="s">
        <v>148</v>
      </c>
      <c r="H375" s="3" t="s">
        <v>472</v>
      </c>
      <c r="I375" s="16" t="s">
        <v>95</v>
      </c>
      <c r="J375" s="100"/>
      <c r="K375" s="100"/>
      <c r="L375" s="100"/>
      <c r="M375" s="100"/>
      <c r="N375" s="100"/>
      <c r="O375" s="100"/>
      <c r="P375" s="100"/>
      <c r="Q375" s="100"/>
      <c r="R375" s="100"/>
      <c r="S375" s="81">
        <v>21864.34</v>
      </c>
      <c r="T375" s="100"/>
      <c r="U375" s="100"/>
      <c r="V375" s="102">
        <f t="shared" si="438"/>
        <v>21864.34</v>
      </c>
      <c r="W375" s="102">
        <f t="shared" si="439"/>
        <v>0</v>
      </c>
      <c r="X375" s="102">
        <f t="shared" si="440"/>
        <v>0</v>
      </c>
    </row>
    <row r="376" spans="1:24" ht="15.75">
      <c r="A376" s="24"/>
      <c r="B376" s="3"/>
      <c r="C376" s="3"/>
      <c r="D376" s="3"/>
      <c r="E376" s="3"/>
      <c r="F376" s="3"/>
      <c r="G376" s="3"/>
      <c r="H376" s="3"/>
      <c r="I376" s="16"/>
      <c r="J376" s="100"/>
      <c r="K376" s="100"/>
      <c r="L376" s="100"/>
      <c r="M376" s="100"/>
      <c r="N376" s="100"/>
      <c r="O376" s="100"/>
      <c r="P376" s="100"/>
      <c r="Q376" s="100"/>
      <c r="R376" s="100"/>
      <c r="S376" s="81"/>
      <c r="T376" s="100"/>
      <c r="U376" s="100"/>
      <c r="V376" s="102"/>
      <c r="W376" s="102"/>
      <c r="X376" s="102"/>
    </row>
    <row r="377" spans="1:24">
      <c r="A377" s="4" t="s">
        <v>37</v>
      </c>
      <c r="B377" s="57" t="s">
        <v>272</v>
      </c>
      <c r="C377" s="57" t="s">
        <v>16</v>
      </c>
      <c r="D377" s="57" t="s">
        <v>31</v>
      </c>
      <c r="E377" s="3"/>
      <c r="F377" s="3"/>
      <c r="G377" s="3"/>
      <c r="H377" s="3"/>
      <c r="I377" s="16"/>
      <c r="J377" s="101">
        <f>J378</f>
        <v>290000</v>
      </c>
      <c r="K377" s="101">
        <f t="shared" ref="K377:O380" si="441">K378</f>
        <v>70000</v>
      </c>
      <c r="L377" s="101">
        <f t="shared" si="441"/>
        <v>290000</v>
      </c>
      <c r="M377" s="101">
        <f t="shared" si="441"/>
        <v>0</v>
      </c>
      <c r="N377" s="101">
        <f t="shared" si="441"/>
        <v>0</v>
      </c>
      <c r="O377" s="101">
        <f t="shared" si="441"/>
        <v>0</v>
      </c>
      <c r="P377" s="101">
        <f t="shared" si="379"/>
        <v>290000</v>
      </c>
      <c r="Q377" s="101">
        <f t="shared" si="380"/>
        <v>70000</v>
      </c>
      <c r="R377" s="101">
        <f t="shared" si="381"/>
        <v>290000</v>
      </c>
      <c r="S377" s="101">
        <f t="shared" ref="S377:U380" si="442">S378</f>
        <v>0</v>
      </c>
      <c r="T377" s="101">
        <f t="shared" si="442"/>
        <v>0</v>
      </c>
      <c r="U377" s="101">
        <f t="shared" si="442"/>
        <v>0</v>
      </c>
      <c r="V377" s="101">
        <f t="shared" si="434"/>
        <v>290000</v>
      </c>
      <c r="W377" s="101">
        <f t="shared" si="435"/>
        <v>70000</v>
      </c>
      <c r="X377" s="101">
        <f t="shared" si="436"/>
        <v>290000</v>
      </c>
    </row>
    <row r="378" spans="1:24" ht="38.25">
      <c r="A378" s="2" t="s">
        <v>287</v>
      </c>
      <c r="B378" s="59" t="s">
        <v>272</v>
      </c>
      <c r="C378" s="59" t="s">
        <v>16</v>
      </c>
      <c r="D378" s="59" t="s">
        <v>31</v>
      </c>
      <c r="E378" s="59" t="s">
        <v>14</v>
      </c>
      <c r="F378" s="59" t="s">
        <v>70</v>
      </c>
      <c r="G378" s="59" t="s">
        <v>148</v>
      </c>
      <c r="H378" s="1" t="s">
        <v>149</v>
      </c>
      <c r="I378" s="13"/>
      <c r="J378" s="102">
        <f>J379</f>
        <v>290000</v>
      </c>
      <c r="K378" s="102">
        <f t="shared" si="441"/>
        <v>70000</v>
      </c>
      <c r="L378" s="102">
        <f t="shared" si="441"/>
        <v>290000</v>
      </c>
      <c r="M378" s="102">
        <f t="shared" si="441"/>
        <v>0</v>
      </c>
      <c r="N378" s="102">
        <f t="shared" si="441"/>
        <v>0</v>
      </c>
      <c r="O378" s="102">
        <f t="shared" si="441"/>
        <v>0</v>
      </c>
      <c r="P378" s="102">
        <f t="shared" si="379"/>
        <v>290000</v>
      </c>
      <c r="Q378" s="102">
        <f t="shared" si="380"/>
        <v>70000</v>
      </c>
      <c r="R378" s="102">
        <f t="shared" si="381"/>
        <v>290000</v>
      </c>
      <c r="S378" s="102">
        <f t="shared" si="442"/>
        <v>0</v>
      </c>
      <c r="T378" s="102">
        <f t="shared" si="442"/>
        <v>0</v>
      </c>
      <c r="U378" s="102">
        <f t="shared" si="442"/>
        <v>0</v>
      </c>
      <c r="V378" s="102">
        <f t="shared" si="434"/>
        <v>290000</v>
      </c>
      <c r="W378" s="102">
        <f t="shared" si="435"/>
        <v>70000</v>
      </c>
      <c r="X378" s="102">
        <f t="shared" si="436"/>
        <v>290000</v>
      </c>
    </row>
    <row r="379" spans="1:24">
      <c r="A379" s="7" t="s">
        <v>325</v>
      </c>
      <c r="B379" s="59" t="s">
        <v>272</v>
      </c>
      <c r="C379" s="59" t="s">
        <v>16</v>
      </c>
      <c r="D379" s="59" t="s">
        <v>31</v>
      </c>
      <c r="E379" s="59" t="s">
        <v>14</v>
      </c>
      <c r="F379" s="59" t="s">
        <v>70</v>
      </c>
      <c r="G379" s="59" t="s">
        <v>148</v>
      </c>
      <c r="H379" s="1" t="s">
        <v>268</v>
      </c>
      <c r="I379" s="13"/>
      <c r="J379" s="81">
        <f>J380</f>
        <v>290000</v>
      </c>
      <c r="K379" s="81">
        <f t="shared" si="441"/>
        <v>70000</v>
      </c>
      <c r="L379" s="81">
        <f t="shared" si="441"/>
        <v>290000</v>
      </c>
      <c r="M379" s="81">
        <f t="shared" si="441"/>
        <v>0</v>
      </c>
      <c r="N379" s="81">
        <f t="shared" si="441"/>
        <v>0</v>
      </c>
      <c r="O379" s="81">
        <f t="shared" si="441"/>
        <v>0</v>
      </c>
      <c r="P379" s="81">
        <f t="shared" si="379"/>
        <v>290000</v>
      </c>
      <c r="Q379" s="81">
        <f t="shared" si="380"/>
        <v>70000</v>
      </c>
      <c r="R379" s="81">
        <f t="shared" si="381"/>
        <v>290000</v>
      </c>
      <c r="S379" s="81">
        <f t="shared" si="442"/>
        <v>0</v>
      </c>
      <c r="T379" s="81">
        <f t="shared" si="442"/>
        <v>0</v>
      </c>
      <c r="U379" s="81">
        <f t="shared" si="442"/>
        <v>0</v>
      </c>
      <c r="V379" s="81">
        <f t="shared" si="434"/>
        <v>290000</v>
      </c>
      <c r="W379" s="81">
        <f t="shared" si="435"/>
        <v>70000</v>
      </c>
      <c r="X379" s="81">
        <f t="shared" si="436"/>
        <v>290000</v>
      </c>
    </row>
    <row r="380" spans="1:24" ht="25.5">
      <c r="A380" s="78" t="s">
        <v>260</v>
      </c>
      <c r="B380" s="59" t="s">
        <v>272</v>
      </c>
      <c r="C380" s="59" t="s">
        <v>16</v>
      </c>
      <c r="D380" s="59" t="s">
        <v>31</v>
      </c>
      <c r="E380" s="59" t="s">
        <v>14</v>
      </c>
      <c r="F380" s="59" t="s">
        <v>70</v>
      </c>
      <c r="G380" s="59" t="s">
        <v>148</v>
      </c>
      <c r="H380" s="1" t="s">
        <v>268</v>
      </c>
      <c r="I380" s="13" t="s">
        <v>94</v>
      </c>
      <c r="J380" s="81">
        <f>J381</f>
        <v>290000</v>
      </c>
      <c r="K380" s="81">
        <f t="shared" si="441"/>
        <v>70000</v>
      </c>
      <c r="L380" s="81">
        <f t="shared" si="441"/>
        <v>290000</v>
      </c>
      <c r="M380" s="81">
        <f t="shared" si="441"/>
        <v>0</v>
      </c>
      <c r="N380" s="81">
        <f t="shared" si="441"/>
        <v>0</v>
      </c>
      <c r="O380" s="81">
        <f t="shared" si="441"/>
        <v>0</v>
      </c>
      <c r="P380" s="81">
        <f t="shared" si="379"/>
        <v>290000</v>
      </c>
      <c r="Q380" s="81">
        <f t="shared" si="380"/>
        <v>70000</v>
      </c>
      <c r="R380" s="81">
        <f t="shared" si="381"/>
        <v>290000</v>
      </c>
      <c r="S380" s="81">
        <f t="shared" si="442"/>
        <v>0</v>
      </c>
      <c r="T380" s="81">
        <f t="shared" si="442"/>
        <v>0</v>
      </c>
      <c r="U380" s="81">
        <f t="shared" si="442"/>
        <v>0</v>
      </c>
      <c r="V380" s="81">
        <f t="shared" si="434"/>
        <v>290000</v>
      </c>
      <c r="W380" s="81">
        <f t="shared" si="435"/>
        <v>70000</v>
      </c>
      <c r="X380" s="81">
        <f t="shared" si="436"/>
        <v>290000</v>
      </c>
    </row>
    <row r="381" spans="1:24" ht="25.5">
      <c r="A381" s="77" t="s">
        <v>98</v>
      </c>
      <c r="B381" s="59" t="s">
        <v>272</v>
      </c>
      <c r="C381" s="59" t="s">
        <v>16</v>
      </c>
      <c r="D381" s="59" t="s">
        <v>31</v>
      </c>
      <c r="E381" s="59" t="s">
        <v>14</v>
      </c>
      <c r="F381" s="59" t="s">
        <v>70</v>
      </c>
      <c r="G381" s="59" t="s">
        <v>148</v>
      </c>
      <c r="H381" s="1" t="s">
        <v>268</v>
      </c>
      <c r="I381" s="13" t="s">
        <v>95</v>
      </c>
      <c r="J381" s="81">
        <v>290000</v>
      </c>
      <c r="K381" s="81">
        <v>70000</v>
      </c>
      <c r="L381" s="81">
        <v>290000</v>
      </c>
      <c r="M381" s="81"/>
      <c r="N381" s="81"/>
      <c r="O381" s="81"/>
      <c r="P381" s="81">
        <f t="shared" si="379"/>
        <v>290000</v>
      </c>
      <c r="Q381" s="81">
        <f t="shared" si="380"/>
        <v>70000</v>
      </c>
      <c r="R381" s="81">
        <f t="shared" si="381"/>
        <v>290000</v>
      </c>
      <c r="S381" s="81"/>
      <c r="T381" s="81"/>
      <c r="U381" s="81"/>
      <c r="V381" s="81">
        <f t="shared" si="434"/>
        <v>290000</v>
      </c>
      <c r="W381" s="81">
        <f t="shared" si="435"/>
        <v>70000</v>
      </c>
      <c r="X381" s="81">
        <f t="shared" si="436"/>
        <v>290000</v>
      </c>
    </row>
    <row r="382" spans="1:24">
      <c r="A382" s="110"/>
      <c r="B382" s="73"/>
      <c r="C382" s="74"/>
      <c r="D382" s="74"/>
      <c r="E382" s="74"/>
      <c r="F382" s="74"/>
      <c r="G382" s="74"/>
      <c r="H382" s="74"/>
      <c r="I382" s="75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</row>
    <row r="383" spans="1:24" ht="15.75">
      <c r="A383" s="33" t="s">
        <v>46</v>
      </c>
      <c r="B383" s="29" t="s">
        <v>272</v>
      </c>
      <c r="C383" s="29" t="s">
        <v>18</v>
      </c>
      <c r="D383" s="29"/>
      <c r="E383" s="29"/>
      <c r="F383" s="29"/>
      <c r="G383" s="29"/>
      <c r="H383" s="29"/>
      <c r="I383" s="32"/>
      <c r="J383" s="100">
        <f>J384</f>
        <v>4167733</v>
      </c>
      <c r="K383" s="100">
        <f t="shared" ref="K383:O383" si="443">K384</f>
        <v>4041522.32</v>
      </c>
      <c r="L383" s="100">
        <f t="shared" si="443"/>
        <v>3955863.21</v>
      </c>
      <c r="M383" s="100">
        <f t="shared" si="443"/>
        <v>494267</v>
      </c>
      <c r="N383" s="100">
        <f t="shared" si="443"/>
        <v>-109962.32</v>
      </c>
      <c r="O383" s="100">
        <f t="shared" si="443"/>
        <v>-114360.81</v>
      </c>
      <c r="P383" s="100">
        <f t="shared" si="379"/>
        <v>4662000</v>
      </c>
      <c r="Q383" s="100">
        <f t="shared" si="380"/>
        <v>3931560</v>
      </c>
      <c r="R383" s="100">
        <f t="shared" si="381"/>
        <v>3841502.4</v>
      </c>
      <c r="S383" s="100">
        <f>S384+S401</f>
        <v>38000</v>
      </c>
      <c r="T383" s="100">
        <f t="shared" ref="T383:U383" si="444">T384+T401</f>
        <v>0</v>
      </c>
      <c r="U383" s="100">
        <f t="shared" si="444"/>
        <v>0</v>
      </c>
      <c r="V383" s="100">
        <f t="shared" ref="V383:V399" si="445">P383+S383</f>
        <v>4700000</v>
      </c>
      <c r="W383" s="100">
        <f t="shared" ref="W383:W399" si="446">Q383+T383</f>
        <v>3931560</v>
      </c>
      <c r="X383" s="100">
        <f t="shared" ref="X383:X399" si="447">R383+U383</f>
        <v>3841502.4</v>
      </c>
    </row>
    <row r="384" spans="1:24">
      <c r="A384" s="62" t="s">
        <v>61</v>
      </c>
      <c r="B384" s="15" t="s">
        <v>272</v>
      </c>
      <c r="C384" s="15" t="s">
        <v>18</v>
      </c>
      <c r="D384" s="15" t="s">
        <v>20</v>
      </c>
      <c r="E384" s="15"/>
      <c r="F384" s="15"/>
      <c r="G384" s="15"/>
      <c r="H384" s="15"/>
      <c r="I384" s="26"/>
      <c r="J384" s="101">
        <f>J390+J385</f>
        <v>4167733</v>
      </c>
      <c r="K384" s="101">
        <f>K390+K385</f>
        <v>4041522.32</v>
      </c>
      <c r="L384" s="101">
        <f>L390+L385</f>
        <v>3955863.21</v>
      </c>
      <c r="M384" s="101">
        <f t="shared" ref="M384:O384" si="448">M390+M385</f>
        <v>494267</v>
      </c>
      <c r="N384" s="101">
        <f t="shared" si="448"/>
        <v>-109962.32</v>
      </c>
      <c r="O384" s="101">
        <f t="shared" si="448"/>
        <v>-114360.81</v>
      </c>
      <c r="P384" s="101">
        <f t="shared" si="379"/>
        <v>4662000</v>
      </c>
      <c r="Q384" s="101">
        <f t="shared" si="380"/>
        <v>3931560</v>
      </c>
      <c r="R384" s="101">
        <f t="shared" si="381"/>
        <v>3841502.4</v>
      </c>
      <c r="S384" s="101">
        <f t="shared" ref="S384:U384" si="449">S390+S385</f>
        <v>0</v>
      </c>
      <c r="T384" s="101">
        <f t="shared" si="449"/>
        <v>0</v>
      </c>
      <c r="U384" s="101">
        <f t="shared" si="449"/>
        <v>0</v>
      </c>
      <c r="V384" s="101">
        <f t="shared" si="445"/>
        <v>4662000</v>
      </c>
      <c r="W384" s="101">
        <f t="shared" si="446"/>
        <v>3931560</v>
      </c>
      <c r="X384" s="101">
        <f t="shared" si="447"/>
        <v>3841502.4</v>
      </c>
    </row>
    <row r="385" spans="1:24" ht="38.25">
      <c r="A385" s="2" t="s">
        <v>289</v>
      </c>
      <c r="B385" s="59" t="s">
        <v>272</v>
      </c>
      <c r="C385" s="59" t="s">
        <v>18</v>
      </c>
      <c r="D385" s="59" t="s">
        <v>20</v>
      </c>
      <c r="E385" s="59" t="s">
        <v>27</v>
      </c>
      <c r="F385" s="59" t="s">
        <v>70</v>
      </c>
      <c r="G385" s="59" t="s">
        <v>148</v>
      </c>
      <c r="H385" s="59" t="s">
        <v>149</v>
      </c>
      <c r="I385" s="116"/>
      <c r="J385" s="81">
        <f>J386</f>
        <v>165000</v>
      </c>
      <c r="K385" s="81">
        <f t="shared" ref="K385:O388" si="450">K386</f>
        <v>100000</v>
      </c>
      <c r="L385" s="81">
        <f t="shared" si="450"/>
        <v>0</v>
      </c>
      <c r="M385" s="81">
        <f t="shared" si="450"/>
        <v>0</v>
      </c>
      <c r="N385" s="81">
        <f t="shared" si="450"/>
        <v>0</v>
      </c>
      <c r="O385" s="81">
        <f t="shared" si="450"/>
        <v>0</v>
      </c>
      <c r="P385" s="81">
        <f t="shared" si="379"/>
        <v>165000</v>
      </c>
      <c r="Q385" s="81">
        <f t="shared" si="380"/>
        <v>100000</v>
      </c>
      <c r="R385" s="81">
        <f t="shared" si="381"/>
        <v>0</v>
      </c>
      <c r="S385" s="81">
        <f t="shared" ref="S385:U388" si="451">S386</f>
        <v>0</v>
      </c>
      <c r="T385" s="81">
        <f t="shared" si="451"/>
        <v>0</v>
      </c>
      <c r="U385" s="81">
        <f t="shared" si="451"/>
        <v>0</v>
      </c>
      <c r="V385" s="81">
        <f t="shared" si="445"/>
        <v>165000</v>
      </c>
      <c r="W385" s="81">
        <f t="shared" si="446"/>
        <v>100000</v>
      </c>
      <c r="X385" s="81">
        <f t="shared" si="447"/>
        <v>0</v>
      </c>
    </row>
    <row r="386" spans="1:24">
      <c r="A386" s="2" t="s">
        <v>211</v>
      </c>
      <c r="B386" s="59" t="s">
        <v>272</v>
      </c>
      <c r="C386" s="59" t="s">
        <v>18</v>
      </c>
      <c r="D386" s="59" t="s">
        <v>20</v>
      </c>
      <c r="E386" s="59" t="s">
        <v>27</v>
      </c>
      <c r="F386" s="59" t="s">
        <v>44</v>
      </c>
      <c r="G386" s="59" t="s">
        <v>148</v>
      </c>
      <c r="H386" s="59" t="s">
        <v>149</v>
      </c>
      <c r="I386" s="116"/>
      <c r="J386" s="81">
        <f>J387</f>
        <v>165000</v>
      </c>
      <c r="K386" s="81">
        <f t="shared" si="450"/>
        <v>100000</v>
      </c>
      <c r="L386" s="81">
        <f t="shared" si="450"/>
        <v>0</v>
      </c>
      <c r="M386" s="81">
        <f t="shared" si="450"/>
        <v>0</v>
      </c>
      <c r="N386" s="81">
        <f t="shared" si="450"/>
        <v>0</v>
      </c>
      <c r="O386" s="81">
        <f t="shared" si="450"/>
        <v>0</v>
      </c>
      <c r="P386" s="81">
        <f t="shared" si="379"/>
        <v>165000</v>
      </c>
      <c r="Q386" s="81">
        <f t="shared" si="380"/>
        <v>100000</v>
      </c>
      <c r="R386" s="81">
        <f t="shared" si="381"/>
        <v>0</v>
      </c>
      <c r="S386" s="81">
        <f t="shared" si="451"/>
        <v>0</v>
      </c>
      <c r="T386" s="81">
        <f t="shared" si="451"/>
        <v>0</v>
      </c>
      <c r="U386" s="81">
        <f t="shared" si="451"/>
        <v>0</v>
      </c>
      <c r="V386" s="81">
        <f t="shared" si="445"/>
        <v>165000</v>
      </c>
      <c r="W386" s="81">
        <f t="shared" si="446"/>
        <v>100000</v>
      </c>
      <c r="X386" s="81">
        <f t="shared" si="447"/>
        <v>0</v>
      </c>
    </row>
    <row r="387" spans="1:24" ht="25.5">
      <c r="A387" s="123" t="s">
        <v>212</v>
      </c>
      <c r="B387" s="59" t="s">
        <v>272</v>
      </c>
      <c r="C387" s="59" t="s">
        <v>18</v>
      </c>
      <c r="D387" s="59" t="s">
        <v>20</v>
      </c>
      <c r="E387" s="59" t="s">
        <v>27</v>
      </c>
      <c r="F387" s="59" t="s">
        <v>44</v>
      </c>
      <c r="G387" s="59" t="s">
        <v>148</v>
      </c>
      <c r="H387" s="59" t="s">
        <v>213</v>
      </c>
      <c r="I387" s="116"/>
      <c r="J387" s="81">
        <f>J388</f>
        <v>165000</v>
      </c>
      <c r="K387" s="81">
        <f t="shared" si="450"/>
        <v>100000</v>
      </c>
      <c r="L387" s="81">
        <f t="shared" si="450"/>
        <v>0</v>
      </c>
      <c r="M387" s="81">
        <f t="shared" si="450"/>
        <v>0</v>
      </c>
      <c r="N387" s="81">
        <f t="shared" si="450"/>
        <v>0</v>
      </c>
      <c r="O387" s="81">
        <f t="shared" si="450"/>
        <v>0</v>
      </c>
      <c r="P387" s="81">
        <f t="shared" si="379"/>
        <v>165000</v>
      </c>
      <c r="Q387" s="81">
        <f t="shared" si="380"/>
        <v>100000</v>
      </c>
      <c r="R387" s="81">
        <f t="shared" si="381"/>
        <v>0</v>
      </c>
      <c r="S387" s="81">
        <f t="shared" si="451"/>
        <v>0</v>
      </c>
      <c r="T387" s="81">
        <f t="shared" si="451"/>
        <v>0</v>
      </c>
      <c r="U387" s="81">
        <f t="shared" si="451"/>
        <v>0</v>
      </c>
      <c r="V387" s="81">
        <f t="shared" si="445"/>
        <v>165000</v>
      </c>
      <c r="W387" s="81">
        <f t="shared" si="446"/>
        <v>100000</v>
      </c>
      <c r="X387" s="81">
        <f t="shared" si="447"/>
        <v>0</v>
      </c>
    </row>
    <row r="388" spans="1:24" ht="25.5">
      <c r="A388" s="78" t="s">
        <v>260</v>
      </c>
      <c r="B388" s="59" t="s">
        <v>272</v>
      </c>
      <c r="C388" s="59" t="s">
        <v>18</v>
      </c>
      <c r="D388" s="59" t="s">
        <v>20</v>
      </c>
      <c r="E388" s="59" t="s">
        <v>27</v>
      </c>
      <c r="F388" s="59" t="s">
        <v>44</v>
      </c>
      <c r="G388" s="59" t="s">
        <v>148</v>
      </c>
      <c r="H388" s="59" t="s">
        <v>213</v>
      </c>
      <c r="I388" s="116" t="s">
        <v>94</v>
      </c>
      <c r="J388" s="81">
        <f>J389</f>
        <v>165000</v>
      </c>
      <c r="K388" s="81">
        <f t="shared" si="450"/>
        <v>100000</v>
      </c>
      <c r="L388" s="81">
        <f t="shared" si="450"/>
        <v>0</v>
      </c>
      <c r="M388" s="81">
        <f t="shared" si="450"/>
        <v>0</v>
      </c>
      <c r="N388" s="81">
        <f t="shared" si="450"/>
        <v>0</v>
      </c>
      <c r="O388" s="81">
        <f t="shared" si="450"/>
        <v>0</v>
      </c>
      <c r="P388" s="81">
        <f t="shared" si="379"/>
        <v>165000</v>
      </c>
      <c r="Q388" s="81">
        <f t="shared" si="380"/>
        <v>100000</v>
      </c>
      <c r="R388" s="81">
        <f t="shared" si="381"/>
        <v>0</v>
      </c>
      <c r="S388" s="81">
        <f t="shared" si="451"/>
        <v>0</v>
      </c>
      <c r="T388" s="81">
        <f t="shared" si="451"/>
        <v>0</v>
      </c>
      <c r="U388" s="81">
        <f t="shared" si="451"/>
        <v>0</v>
      </c>
      <c r="V388" s="81">
        <f t="shared" si="445"/>
        <v>165000</v>
      </c>
      <c r="W388" s="81">
        <f t="shared" si="446"/>
        <v>100000</v>
      </c>
      <c r="X388" s="81">
        <f t="shared" si="447"/>
        <v>0</v>
      </c>
    </row>
    <row r="389" spans="1:24" ht="25.5">
      <c r="A389" s="77" t="s">
        <v>98</v>
      </c>
      <c r="B389" s="59" t="s">
        <v>272</v>
      </c>
      <c r="C389" s="59" t="s">
        <v>18</v>
      </c>
      <c r="D389" s="59" t="s">
        <v>20</v>
      </c>
      <c r="E389" s="59" t="s">
        <v>27</v>
      </c>
      <c r="F389" s="59" t="s">
        <v>44</v>
      </c>
      <c r="G389" s="59" t="s">
        <v>148</v>
      </c>
      <c r="H389" s="59" t="s">
        <v>213</v>
      </c>
      <c r="I389" s="116" t="s">
        <v>95</v>
      </c>
      <c r="J389" s="81">
        <v>165000</v>
      </c>
      <c r="K389" s="81">
        <v>100000</v>
      </c>
      <c r="L389" s="81"/>
      <c r="M389" s="81"/>
      <c r="N389" s="81"/>
      <c r="O389" s="81"/>
      <c r="P389" s="81">
        <f t="shared" si="379"/>
        <v>165000</v>
      </c>
      <c r="Q389" s="81">
        <f t="shared" si="380"/>
        <v>100000</v>
      </c>
      <c r="R389" s="81">
        <f t="shared" si="381"/>
        <v>0</v>
      </c>
      <c r="S389" s="81"/>
      <c r="T389" s="81"/>
      <c r="U389" s="81"/>
      <c r="V389" s="81">
        <f t="shared" si="445"/>
        <v>165000</v>
      </c>
      <c r="W389" s="81">
        <f t="shared" si="446"/>
        <v>100000</v>
      </c>
      <c r="X389" s="81">
        <f t="shared" si="447"/>
        <v>0</v>
      </c>
    </row>
    <row r="390" spans="1:24" ht="38.25">
      <c r="A390" s="2" t="s">
        <v>287</v>
      </c>
      <c r="B390" s="59" t="s">
        <v>272</v>
      </c>
      <c r="C390" s="59" t="s">
        <v>18</v>
      </c>
      <c r="D390" s="59" t="s">
        <v>20</v>
      </c>
      <c r="E390" s="59" t="s">
        <v>14</v>
      </c>
      <c r="F390" s="59" t="s">
        <v>70</v>
      </c>
      <c r="G390" s="59" t="s">
        <v>148</v>
      </c>
      <c r="H390" s="1" t="s">
        <v>149</v>
      </c>
      <c r="I390" s="13"/>
      <c r="J390" s="81">
        <f>J394+J391+J397</f>
        <v>4002733</v>
      </c>
      <c r="K390" s="81">
        <f t="shared" ref="K390:L390" si="452">K394+K391+K397</f>
        <v>3941522.32</v>
      </c>
      <c r="L390" s="81">
        <f t="shared" si="452"/>
        <v>3955863.21</v>
      </c>
      <c r="M390" s="81">
        <f t="shared" ref="M390:O390" si="453">M394+M391+M397</f>
        <v>494267</v>
      </c>
      <c r="N390" s="81">
        <f t="shared" si="453"/>
        <v>-109962.32</v>
      </c>
      <c r="O390" s="81">
        <f t="shared" si="453"/>
        <v>-114360.81</v>
      </c>
      <c r="P390" s="81">
        <f t="shared" si="379"/>
        <v>4497000</v>
      </c>
      <c r="Q390" s="81">
        <f t="shared" si="380"/>
        <v>3831560</v>
      </c>
      <c r="R390" s="81">
        <f t="shared" si="381"/>
        <v>3841502.4</v>
      </c>
      <c r="S390" s="81">
        <f t="shared" ref="S390:U390" si="454">S394+S391+S397</f>
        <v>0</v>
      </c>
      <c r="T390" s="81">
        <f t="shared" si="454"/>
        <v>0</v>
      </c>
      <c r="U390" s="81">
        <f t="shared" si="454"/>
        <v>0</v>
      </c>
      <c r="V390" s="81">
        <f t="shared" si="445"/>
        <v>4497000</v>
      </c>
      <c r="W390" s="81">
        <f t="shared" si="446"/>
        <v>3831560</v>
      </c>
      <c r="X390" s="81">
        <f t="shared" si="447"/>
        <v>3841502.4</v>
      </c>
    </row>
    <row r="391" spans="1:24" ht="25.5">
      <c r="A391" s="110" t="s">
        <v>326</v>
      </c>
      <c r="B391" s="59" t="s">
        <v>272</v>
      </c>
      <c r="C391" s="59" t="s">
        <v>18</v>
      </c>
      <c r="D391" s="59" t="s">
        <v>20</v>
      </c>
      <c r="E391" s="59" t="s">
        <v>14</v>
      </c>
      <c r="F391" s="59" t="s">
        <v>70</v>
      </c>
      <c r="G391" s="59" t="s">
        <v>148</v>
      </c>
      <c r="H391" s="74" t="s">
        <v>172</v>
      </c>
      <c r="I391" s="75"/>
      <c r="J391" s="103">
        <f>J392</f>
        <v>3550000</v>
      </c>
      <c r="K391" s="103">
        <f t="shared" ref="K391:O392" si="455">K392</f>
        <v>3550000</v>
      </c>
      <c r="L391" s="103">
        <f t="shared" si="455"/>
        <v>3550000</v>
      </c>
      <c r="M391" s="103">
        <f t="shared" si="455"/>
        <v>0</v>
      </c>
      <c r="N391" s="103">
        <f t="shared" si="455"/>
        <v>0</v>
      </c>
      <c r="O391" s="103">
        <f t="shared" si="455"/>
        <v>0</v>
      </c>
      <c r="P391" s="103">
        <f t="shared" si="379"/>
        <v>3550000</v>
      </c>
      <c r="Q391" s="103">
        <f t="shared" si="380"/>
        <v>3550000</v>
      </c>
      <c r="R391" s="103">
        <f t="shared" si="381"/>
        <v>3550000</v>
      </c>
      <c r="S391" s="103">
        <f t="shared" ref="S391:U392" si="456">S392</f>
        <v>0</v>
      </c>
      <c r="T391" s="103">
        <f t="shared" si="456"/>
        <v>0</v>
      </c>
      <c r="U391" s="103">
        <f t="shared" si="456"/>
        <v>0</v>
      </c>
      <c r="V391" s="103">
        <f t="shared" si="445"/>
        <v>3550000</v>
      </c>
      <c r="W391" s="103">
        <f t="shared" si="446"/>
        <v>3550000</v>
      </c>
      <c r="X391" s="103">
        <f t="shared" si="447"/>
        <v>3550000</v>
      </c>
    </row>
    <row r="392" spans="1:24" ht="25.5">
      <c r="A392" s="78" t="s">
        <v>260</v>
      </c>
      <c r="B392" s="59" t="s">
        <v>272</v>
      </c>
      <c r="C392" s="59" t="s">
        <v>18</v>
      </c>
      <c r="D392" s="59" t="s">
        <v>20</v>
      </c>
      <c r="E392" s="59" t="s">
        <v>14</v>
      </c>
      <c r="F392" s="59" t="s">
        <v>70</v>
      </c>
      <c r="G392" s="59" t="s">
        <v>148</v>
      </c>
      <c r="H392" s="74" t="s">
        <v>172</v>
      </c>
      <c r="I392" s="75" t="s">
        <v>94</v>
      </c>
      <c r="J392" s="103">
        <f>J393</f>
        <v>3550000</v>
      </c>
      <c r="K392" s="103">
        <f t="shared" si="455"/>
        <v>3550000</v>
      </c>
      <c r="L392" s="103">
        <f t="shared" si="455"/>
        <v>3550000</v>
      </c>
      <c r="M392" s="103">
        <f t="shared" si="455"/>
        <v>0</v>
      </c>
      <c r="N392" s="103">
        <f t="shared" si="455"/>
        <v>0</v>
      </c>
      <c r="O392" s="103">
        <f t="shared" si="455"/>
        <v>0</v>
      </c>
      <c r="P392" s="103">
        <f t="shared" si="379"/>
        <v>3550000</v>
      </c>
      <c r="Q392" s="103">
        <f t="shared" si="380"/>
        <v>3550000</v>
      </c>
      <c r="R392" s="103">
        <f t="shared" si="381"/>
        <v>3550000</v>
      </c>
      <c r="S392" s="103">
        <f t="shared" si="456"/>
        <v>0</v>
      </c>
      <c r="T392" s="103">
        <f t="shared" si="456"/>
        <v>0</v>
      </c>
      <c r="U392" s="103">
        <f t="shared" si="456"/>
        <v>0</v>
      </c>
      <c r="V392" s="103">
        <f t="shared" si="445"/>
        <v>3550000</v>
      </c>
      <c r="W392" s="103">
        <f t="shared" si="446"/>
        <v>3550000</v>
      </c>
      <c r="X392" s="103">
        <f t="shared" si="447"/>
        <v>3550000</v>
      </c>
    </row>
    <row r="393" spans="1:24" ht="25.5">
      <c r="A393" s="77" t="s">
        <v>98</v>
      </c>
      <c r="B393" s="59" t="s">
        <v>272</v>
      </c>
      <c r="C393" s="59" t="s">
        <v>18</v>
      </c>
      <c r="D393" s="59" t="s">
        <v>20</v>
      </c>
      <c r="E393" s="59" t="s">
        <v>14</v>
      </c>
      <c r="F393" s="59" t="s">
        <v>70</v>
      </c>
      <c r="G393" s="59" t="s">
        <v>148</v>
      </c>
      <c r="H393" s="74" t="s">
        <v>172</v>
      </c>
      <c r="I393" s="75" t="s">
        <v>95</v>
      </c>
      <c r="J393" s="103">
        <v>3550000</v>
      </c>
      <c r="K393" s="103">
        <v>3550000</v>
      </c>
      <c r="L393" s="103">
        <v>3550000</v>
      </c>
      <c r="M393" s="103"/>
      <c r="N393" s="103"/>
      <c r="O393" s="103"/>
      <c r="P393" s="103">
        <f t="shared" si="379"/>
        <v>3550000</v>
      </c>
      <c r="Q393" s="103">
        <f t="shared" si="380"/>
        <v>3550000</v>
      </c>
      <c r="R393" s="103">
        <f t="shared" si="381"/>
        <v>3550000</v>
      </c>
      <c r="S393" s="103"/>
      <c r="T393" s="103"/>
      <c r="U393" s="103"/>
      <c r="V393" s="103">
        <f t="shared" si="445"/>
        <v>3550000</v>
      </c>
      <c r="W393" s="103">
        <f t="shared" si="446"/>
        <v>3550000</v>
      </c>
      <c r="X393" s="103">
        <f t="shared" si="447"/>
        <v>3550000</v>
      </c>
    </row>
    <row r="394" spans="1:24">
      <c r="A394" s="2" t="s">
        <v>369</v>
      </c>
      <c r="B394" s="59" t="s">
        <v>272</v>
      </c>
      <c r="C394" s="59" t="s">
        <v>18</v>
      </c>
      <c r="D394" s="59" t="s">
        <v>20</v>
      </c>
      <c r="E394" s="59" t="s">
        <v>14</v>
      </c>
      <c r="F394" s="59" t="s">
        <v>70</v>
      </c>
      <c r="G394" s="59" t="s">
        <v>148</v>
      </c>
      <c r="H394" s="1" t="s">
        <v>327</v>
      </c>
      <c r="I394" s="13"/>
      <c r="J394" s="81">
        <f t="shared" ref="J394:O395" si="457">J395</f>
        <v>352733</v>
      </c>
      <c r="K394" s="81">
        <f t="shared" si="457"/>
        <v>366522.32</v>
      </c>
      <c r="L394" s="81">
        <f t="shared" si="457"/>
        <v>380863.21</v>
      </c>
      <c r="M394" s="81">
        <f t="shared" si="457"/>
        <v>194267</v>
      </c>
      <c r="N394" s="81">
        <f t="shared" si="457"/>
        <v>-109962.32</v>
      </c>
      <c r="O394" s="81">
        <f t="shared" si="457"/>
        <v>-114360.81</v>
      </c>
      <c r="P394" s="81">
        <f t="shared" si="379"/>
        <v>547000</v>
      </c>
      <c r="Q394" s="81">
        <f t="shared" si="380"/>
        <v>256560</v>
      </c>
      <c r="R394" s="81">
        <f t="shared" si="381"/>
        <v>266502.40000000002</v>
      </c>
      <c r="S394" s="81">
        <f t="shared" ref="S394:U395" si="458">S395</f>
        <v>0</v>
      </c>
      <c r="T394" s="81">
        <f t="shared" si="458"/>
        <v>0</v>
      </c>
      <c r="U394" s="81">
        <f t="shared" si="458"/>
        <v>0</v>
      </c>
      <c r="V394" s="81">
        <f t="shared" si="445"/>
        <v>547000</v>
      </c>
      <c r="W394" s="81">
        <f t="shared" si="446"/>
        <v>256560</v>
      </c>
      <c r="X394" s="81">
        <f t="shared" si="447"/>
        <v>266502.40000000002</v>
      </c>
    </row>
    <row r="395" spans="1:24" ht="25.5">
      <c r="A395" s="78" t="s">
        <v>260</v>
      </c>
      <c r="B395" s="59" t="s">
        <v>272</v>
      </c>
      <c r="C395" s="59" t="s">
        <v>18</v>
      </c>
      <c r="D395" s="59" t="s">
        <v>20</v>
      </c>
      <c r="E395" s="59" t="s">
        <v>14</v>
      </c>
      <c r="F395" s="59" t="s">
        <v>70</v>
      </c>
      <c r="G395" s="59" t="s">
        <v>148</v>
      </c>
      <c r="H395" s="1" t="s">
        <v>327</v>
      </c>
      <c r="I395" s="13" t="s">
        <v>94</v>
      </c>
      <c r="J395" s="81">
        <f t="shared" si="457"/>
        <v>352733</v>
      </c>
      <c r="K395" s="81">
        <f t="shared" si="457"/>
        <v>366522.32</v>
      </c>
      <c r="L395" s="81">
        <f t="shared" si="457"/>
        <v>380863.21</v>
      </c>
      <c r="M395" s="81">
        <f t="shared" si="457"/>
        <v>194267</v>
      </c>
      <c r="N395" s="81">
        <f t="shared" si="457"/>
        <v>-109962.32</v>
      </c>
      <c r="O395" s="81">
        <f t="shared" si="457"/>
        <v>-114360.81</v>
      </c>
      <c r="P395" s="81">
        <f t="shared" si="379"/>
        <v>547000</v>
      </c>
      <c r="Q395" s="81">
        <f t="shared" si="380"/>
        <v>256560</v>
      </c>
      <c r="R395" s="81">
        <f t="shared" si="381"/>
        <v>266502.40000000002</v>
      </c>
      <c r="S395" s="81">
        <f t="shared" si="458"/>
        <v>0</v>
      </c>
      <c r="T395" s="81">
        <f t="shared" si="458"/>
        <v>0</v>
      </c>
      <c r="U395" s="81">
        <f t="shared" si="458"/>
        <v>0</v>
      </c>
      <c r="V395" s="81">
        <f t="shared" si="445"/>
        <v>547000</v>
      </c>
      <c r="W395" s="81">
        <f t="shared" si="446"/>
        <v>256560</v>
      </c>
      <c r="X395" s="81">
        <f t="shared" si="447"/>
        <v>266502.40000000002</v>
      </c>
    </row>
    <row r="396" spans="1:24" ht="25.5">
      <c r="A396" s="77" t="s">
        <v>98</v>
      </c>
      <c r="B396" s="59" t="s">
        <v>272</v>
      </c>
      <c r="C396" s="59" t="s">
        <v>18</v>
      </c>
      <c r="D396" s="59" t="s">
        <v>20</v>
      </c>
      <c r="E396" s="59" t="s">
        <v>14</v>
      </c>
      <c r="F396" s="59" t="s">
        <v>70</v>
      </c>
      <c r="G396" s="59" t="s">
        <v>148</v>
      </c>
      <c r="H396" s="1" t="s">
        <v>327</v>
      </c>
      <c r="I396" s="13" t="s">
        <v>95</v>
      </c>
      <c r="J396" s="81">
        <f>247000+105733</f>
        <v>352733</v>
      </c>
      <c r="K396" s="81">
        <f>256560+109962.32</f>
        <v>366522.32</v>
      </c>
      <c r="L396" s="81">
        <f>266502.4+114360.81</f>
        <v>380863.21</v>
      </c>
      <c r="M396" s="81">
        <f>-105733+300000</f>
        <v>194267</v>
      </c>
      <c r="N396" s="175">
        <v>-109962.32</v>
      </c>
      <c r="O396" s="175">
        <v>-114360.81</v>
      </c>
      <c r="P396" s="81">
        <f t="shared" si="379"/>
        <v>547000</v>
      </c>
      <c r="Q396" s="81">
        <f t="shared" si="380"/>
        <v>256560</v>
      </c>
      <c r="R396" s="81">
        <f t="shared" si="381"/>
        <v>266502.40000000002</v>
      </c>
      <c r="S396" s="81"/>
      <c r="T396" s="81"/>
      <c r="U396" s="81"/>
      <c r="V396" s="81">
        <f t="shared" si="445"/>
        <v>547000</v>
      </c>
      <c r="W396" s="81">
        <f t="shared" si="446"/>
        <v>256560</v>
      </c>
      <c r="X396" s="81">
        <f t="shared" si="447"/>
        <v>266502.40000000002</v>
      </c>
    </row>
    <row r="397" spans="1:24" ht="25.5">
      <c r="A397" s="77" t="s">
        <v>324</v>
      </c>
      <c r="B397" s="59" t="s">
        <v>272</v>
      </c>
      <c r="C397" s="59" t="s">
        <v>18</v>
      </c>
      <c r="D397" s="59" t="s">
        <v>20</v>
      </c>
      <c r="E397" s="59" t="s">
        <v>14</v>
      </c>
      <c r="F397" s="59" t="s">
        <v>70</v>
      </c>
      <c r="G397" s="59" t="s">
        <v>148</v>
      </c>
      <c r="H397" s="74" t="s">
        <v>323</v>
      </c>
      <c r="I397" s="75"/>
      <c r="J397" s="103">
        <f>J398</f>
        <v>100000</v>
      </c>
      <c r="K397" s="103">
        <f t="shared" ref="K397:O398" si="459">K398</f>
        <v>25000</v>
      </c>
      <c r="L397" s="103">
        <f t="shared" si="459"/>
        <v>25000</v>
      </c>
      <c r="M397" s="103">
        <f t="shared" si="459"/>
        <v>300000</v>
      </c>
      <c r="N397" s="103">
        <f t="shared" si="459"/>
        <v>0</v>
      </c>
      <c r="O397" s="103">
        <f t="shared" si="459"/>
        <v>0</v>
      </c>
      <c r="P397" s="103">
        <f t="shared" si="379"/>
        <v>400000</v>
      </c>
      <c r="Q397" s="103">
        <f t="shared" si="380"/>
        <v>25000</v>
      </c>
      <c r="R397" s="103">
        <f t="shared" si="381"/>
        <v>25000</v>
      </c>
      <c r="S397" s="103">
        <f t="shared" ref="S397:U398" si="460">S398</f>
        <v>0</v>
      </c>
      <c r="T397" s="103">
        <f t="shared" si="460"/>
        <v>0</v>
      </c>
      <c r="U397" s="103">
        <f t="shared" si="460"/>
        <v>0</v>
      </c>
      <c r="V397" s="103">
        <f t="shared" si="445"/>
        <v>400000</v>
      </c>
      <c r="W397" s="103">
        <f t="shared" si="446"/>
        <v>25000</v>
      </c>
      <c r="X397" s="103">
        <f t="shared" si="447"/>
        <v>25000</v>
      </c>
    </row>
    <row r="398" spans="1:24" ht="25.5">
      <c r="A398" s="78" t="s">
        <v>260</v>
      </c>
      <c r="B398" s="59" t="s">
        <v>272</v>
      </c>
      <c r="C398" s="59" t="s">
        <v>18</v>
      </c>
      <c r="D398" s="59" t="s">
        <v>20</v>
      </c>
      <c r="E398" s="59" t="s">
        <v>14</v>
      </c>
      <c r="F398" s="59" t="s">
        <v>70</v>
      </c>
      <c r="G398" s="59" t="s">
        <v>148</v>
      </c>
      <c r="H398" s="74" t="s">
        <v>323</v>
      </c>
      <c r="I398" s="75" t="s">
        <v>94</v>
      </c>
      <c r="J398" s="103">
        <f>J399</f>
        <v>100000</v>
      </c>
      <c r="K398" s="103">
        <f t="shared" si="459"/>
        <v>25000</v>
      </c>
      <c r="L398" s="103">
        <f t="shared" si="459"/>
        <v>25000</v>
      </c>
      <c r="M398" s="103">
        <f t="shared" si="459"/>
        <v>300000</v>
      </c>
      <c r="N398" s="103">
        <f t="shared" si="459"/>
        <v>0</v>
      </c>
      <c r="O398" s="103">
        <f t="shared" si="459"/>
        <v>0</v>
      </c>
      <c r="P398" s="103">
        <f t="shared" si="379"/>
        <v>400000</v>
      </c>
      <c r="Q398" s="103">
        <f t="shared" si="380"/>
        <v>25000</v>
      </c>
      <c r="R398" s="103">
        <f t="shared" si="381"/>
        <v>25000</v>
      </c>
      <c r="S398" s="103">
        <f t="shared" si="460"/>
        <v>0</v>
      </c>
      <c r="T398" s="103">
        <f t="shared" si="460"/>
        <v>0</v>
      </c>
      <c r="U398" s="103">
        <f t="shared" si="460"/>
        <v>0</v>
      </c>
      <c r="V398" s="103">
        <f t="shared" si="445"/>
        <v>400000</v>
      </c>
      <c r="W398" s="103">
        <f t="shared" si="446"/>
        <v>25000</v>
      </c>
      <c r="X398" s="103">
        <f t="shared" si="447"/>
        <v>25000</v>
      </c>
    </row>
    <row r="399" spans="1:24" ht="25.5">
      <c r="A399" s="77" t="s">
        <v>98</v>
      </c>
      <c r="B399" s="59" t="s">
        <v>272</v>
      </c>
      <c r="C399" s="59" t="s">
        <v>18</v>
      </c>
      <c r="D399" s="59" t="s">
        <v>20</v>
      </c>
      <c r="E399" s="59" t="s">
        <v>14</v>
      </c>
      <c r="F399" s="59" t="s">
        <v>70</v>
      </c>
      <c r="G399" s="59" t="s">
        <v>148</v>
      </c>
      <c r="H399" s="74" t="s">
        <v>323</v>
      </c>
      <c r="I399" s="75" t="s">
        <v>95</v>
      </c>
      <c r="J399" s="103">
        <v>100000</v>
      </c>
      <c r="K399" s="103">
        <v>25000</v>
      </c>
      <c r="L399" s="103">
        <v>25000</v>
      </c>
      <c r="M399" s="103">
        <v>300000</v>
      </c>
      <c r="N399" s="103"/>
      <c r="O399" s="103"/>
      <c r="P399" s="103">
        <f t="shared" si="379"/>
        <v>400000</v>
      </c>
      <c r="Q399" s="103">
        <f t="shared" si="380"/>
        <v>25000</v>
      </c>
      <c r="R399" s="103">
        <f t="shared" si="381"/>
        <v>25000</v>
      </c>
      <c r="S399" s="103"/>
      <c r="T399" s="103"/>
      <c r="U399" s="103"/>
      <c r="V399" s="103">
        <f t="shared" si="445"/>
        <v>400000</v>
      </c>
      <c r="W399" s="103">
        <f t="shared" si="446"/>
        <v>25000</v>
      </c>
      <c r="X399" s="103">
        <f t="shared" si="447"/>
        <v>25000</v>
      </c>
    </row>
    <row r="400" spans="1:24">
      <c r="A400" s="110"/>
      <c r="B400" s="139"/>
      <c r="C400" s="119"/>
      <c r="D400" s="119"/>
      <c r="E400" s="119"/>
      <c r="F400" s="119"/>
      <c r="G400" s="119"/>
      <c r="H400" s="74"/>
      <c r="I400" s="75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</row>
    <row r="401" spans="1:24" s="121" customFormat="1">
      <c r="A401" s="177" t="s">
        <v>47</v>
      </c>
      <c r="B401" s="178" t="s">
        <v>272</v>
      </c>
      <c r="C401" s="179" t="s">
        <v>18</v>
      </c>
      <c r="D401" s="179" t="s">
        <v>17</v>
      </c>
      <c r="E401" s="179"/>
      <c r="F401" s="179"/>
      <c r="G401" s="179"/>
      <c r="H401" s="180"/>
      <c r="I401" s="181"/>
      <c r="J401" s="182"/>
      <c r="K401" s="182"/>
      <c r="L401" s="182"/>
      <c r="M401" s="182"/>
      <c r="N401" s="182"/>
      <c r="O401" s="182"/>
      <c r="P401" s="182"/>
      <c r="Q401" s="182"/>
      <c r="R401" s="182"/>
      <c r="S401" s="182">
        <f>S402</f>
        <v>38000</v>
      </c>
      <c r="T401" s="182">
        <f t="shared" ref="T401:U404" si="461">T402</f>
        <v>0</v>
      </c>
      <c r="U401" s="182">
        <f t="shared" si="461"/>
        <v>0</v>
      </c>
      <c r="V401" s="182">
        <f t="shared" ref="V401:V405" si="462">P401+S401</f>
        <v>38000</v>
      </c>
      <c r="W401" s="182">
        <f t="shared" ref="W401:W405" si="463">Q401+T401</f>
        <v>0</v>
      </c>
      <c r="X401" s="182">
        <f t="shared" ref="X401:X405" si="464">R401+U401</f>
        <v>0</v>
      </c>
    </row>
    <row r="402" spans="1:24">
      <c r="A402" s="2" t="s">
        <v>83</v>
      </c>
      <c r="B402" s="139" t="s">
        <v>272</v>
      </c>
      <c r="C402" s="119" t="s">
        <v>18</v>
      </c>
      <c r="D402" s="119" t="s">
        <v>17</v>
      </c>
      <c r="E402" s="119" t="s">
        <v>82</v>
      </c>
      <c r="F402" s="119" t="s">
        <v>70</v>
      </c>
      <c r="G402" s="119" t="s">
        <v>148</v>
      </c>
      <c r="H402" s="74" t="s">
        <v>149</v>
      </c>
      <c r="I402" s="75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>
        <f>S403</f>
        <v>38000</v>
      </c>
      <c r="T402" s="103">
        <f t="shared" si="461"/>
        <v>0</v>
      </c>
      <c r="U402" s="103">
        <f t="shared" si="461"/>
        <v>0</v>
      </c>
      <c r="V402" s="103">
        <f t="shared" si="462"/>
        <v>38000</v>
      </c>
      <c r="W402" s="103">
        <f t="shared" si="463"/>
        <v>0</v>
      </c>
      <c r="X402" s="103">
        <f t="shared" si="464"/>
        <v>0</v>
      </c>
    </row>
    <row r="403" spans="1:24">
      <c r="A403" s="110" t="s">
        <v>332</v>
      </c>
      <c r="B403" s="139" t="s">
        <v>272</v>
      </c>
      <c r="C403" s="119" t="s">
        <v>18</v>
      </c>
      <c r="D403" s="119" t="s">
        <v>17</v>
      </c>
      <c r="E403" s="119" t="s">
        <v>82</v>
      </c>
      <c r="F403" s="119" t="s">
        <v>70</v>
      </c>
      <c r="G403" s="119" t="s">
        <v>148</v>
      </c>
      <c r="H403" s="74" t="s">
        <v>185</v>
      </c>
      <c r="I403" s="75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>
        <f>S404</f>
        <v>38000</v>
      </c>
      <c r="T403" s="103">
        <f t="shared" si="461"/>
        <v>0</v>
      </c>
      <c r="U403" s="103">
        <f t="shared" si="461"/>
        <v>0</v>
      </c>
      <c r="V403" s="103">
        <f t="shared" si="462"/>
        <v>38000</v>
      </c>
      <c r="W403" s="103">
        <f t="shared" si="463"/>
        <v>0</v>
      </c>
      <c r="X403" s="103">
        <f t="shared" si="464"/>
        <v>0</v>
      </c>
    </row>
    <row r="404" spans="1:24" ht="25.5">
      <c r="A404" s="78" t="s">
        <v>260</v>
      </c>
      <c r="B404" s="139" t="s">
        <v>272</v>
      </c>
      <c r="C404" s="119" t="s">
        <v>18</v>
      </c>
      <c r="D404" s="119" t="s">
        <v>17</v>
      </c>
      <c r="E404" s="119" t="s">
        <v>82</v>
      </c>
      <c r="F404" s="119" t="s">
        <v>70</v>
      </c>
      <c r="G404" s="119" t="s">
        <v>148</v>
      </c>
      <c r="H404" s="74" t="s">
        <v>185</v>
      </c>
      <c r="I404" s="75" t="s">
        <v>94</v>
      </c>
      <c r="J404" s="103"/>
      <c r="K404" s="103"/>
      <c r="L404" s="103"/>
      <c r="M404" s="103"/>
      <c r="N404" s="103"/>
      <c r="O404" s="103"/>
      <c r="P404" s="103"/>
      <c r="Q404" s="103"/>
      <c r="R404" s="103"/>
      <c r="S404" s="103">
        <f>S405</f>
        <v>38000</v>
      </c>
      <c r="T404" s="103">
        <f t="shared" si="461"/>
        <v>0</v>
      </c>
      <c r="U404" s="103">
        <f t="shared" si="461"/>
        <v>0</v>
      </c>
      <c r="V404" s="103">
        <f t="shared" si="462"/>
        <v>38000</v>
      </c>
      <c r="W404" s="103">
        <f t="shared" si="463"/>
        <v>0</v>
      </c>
      <c r="X404" s="103">
        <f t="shared" si="464"/>
        <v>0</v>
      </c>
    </row>
    <row r="405" spans="1:24" ht="25.5">
      <c r="A405" s="77" t="s">
        <v>98</v>
      </c>
      <c r="B405" s="139" t="s">
        <v>272</v>
      </c>
      <c r="C405" s="119" t="s">
        <v>18</v>
      </c>
      <c r="D405" s="119" t="s">
        <v>17</v>
      </c>
      <c r="E405" s="119" t="s">
        <v>82</v>
      </c>
      <c r="F405" s="119" t="s">
        <v>70</v>
      </c>
      <c r="G405" s="119" t="s">
        <v>148</v>
      </c>
      <c r="H405" s="74" t="s">
        <v>185</v>
      </c>
      <c r="I405" s="75" t="s">
        <v>95</v>
      </c>
      <c r="J405" s="103"/>
      <c r="K405" s="103"/>
      <c r="L405" s="103"/>
      <c r="M405" s="103"/>
      <c r="N405" s="103"/>
      <c r="O405" s="103"/>
      <c r="P405" s="103"/>
      <c r="Q405" s="103"/>
      <c r="R405" s="103"/>
      <c r="S405" s="103">
        <v>38000</v>
      </c>
      <c r="T405" s="103"/>
      <c r="U405" s="103"/>
      <c r="V405" s="103">
        <f t="shared" si="462"/>
        <v>38000</v>
      </c>
      <c r="W405" s="103">
        <f t="shared" si="463"/>
        <v>0</v>
      </c>
      <c r="X405" s="103">
        <f t="shared" si="464"/>
        <v>0</v>
      </c>
    </row>
    <row r="406" spans="1:24">
      <c r="A406" s="110"/>
      <c r="B406" s="139"/>
      <c r="C406" s="119"/>
      <c r="D406" s="119"/>
      <c r="E406" s="119"/>
      <c r="F406" s="119"/>
      <c r="G406" s="119"/>
      <c r="H406" s="74"/>
      <c r="I406" s="75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</row>
    <row r="407" spans="1:24" ht="25.5">
      <c r="A407" s="41" t="s">
        <v>408</v>
      </c>
      <c r="B407" s="46" t="s">
        <v>63</v>
      </c>
      <c r="C407" s="90"/>
      <c r="D407" s="42"/>
      <c r="E407" s="97"/>
      <c r="F407" s="90"/>
      <c r="G407" s="90"/>
      <c r="H407" s="42"/>
      <c r="I407" s="118"/>
      <c r="J407" s="106">
        <f>J408</f>
        <v>29256367.370000001</v>
      </c>
      <c r="K407" s="106">
        <f t="shared" ref="K407:O407" si="465">K408</f>
        <v>24578550.170000002</v>
      </c>
      <c r="L407" s="106">
        <f t="shared" si="465"/>
        <v>24084290.400000002</v>
      </c>
      <c r="M407" s="106">
        <f t="shared" si="465"/>
        <v>29708815.530000001</v>
      </c>
      <c r="N407" s="106">
        <f t="shared" si="465"/>
        <v>0</v>
      </c>
      <c r="O407" s="106">
        <f t="shared" si="465"/>
        <v>0</v>
      </c>
      <c r="P407" s="106">
        <f t="shared" si="379"/>
        <v>58965182.900000006</v>
      </c>
      <c r="Q407" s="106">
        <f t="shared" si="380"/>
        <v>24578550.170000002</v>
      </c>
      <c r="R407" s="106">
        <f t="shared" si="381"/>
        <v>24084290.400000002</v>
      </c>
      <c r="S407" s="106">
        <f t="shared" ref="S407:U407" si="466">S408</f>
        <v>-5864205.0100000007</v>
      </c>
      <c r="T407" s="106">
        <f t="shared" si="466"/>
        <v>0</v>
      </c>
      <c r="U407" s="106">
        <f t="shared" si="466"/>
        <v>0</v>
      </c>
      <c r="V407" s="106">
        <f t="shared" ref="V407:V417" si="467">P407+S407</f>
        <v>53100977.890000008</v>
      </c>
      <c r="W407" s="106">
        <f t="shared" ref="W407:W417" si="468">Q407+T407</f>
        <v>24578550.170000002</v>
      </c>
      <c r="X407" s="106">
        <f t="shared" ref="X407:X417" si="469">R407+U407</f>
        <v>24084290.400000002</v>
      </c>
    </row>
    <row r="408" spans="1:24" ht="15.75">
      <c r="A408" s="24" t="s">
        <v>32</v>
      </c>
      <c r="B408" s="25" t="s">
        <v>63</v>
      </c>
      <c r="C408" s="25" t="s">
        <v>20</v>
      </c>
      <c r="D408" s="1"/>
      <c r="E408" s="1"/>
      <c r="F408" s="1"/>
      <c r="G408" s="1"/>
      <c r="H408" s="1"/>
      <c r="I408" s="1"/>
      <c r="J408" s="100">
        <f>+J410+J425+J419</f>
        <v>29256367.370000001</v>
      </c>
      <c r="K408" s="100">
        <f t="shared" ref="K408:L408" si="470">+K410+K425+K419</f>
        <v>24578550.170000002</v>
      </c>
      <c r="L408" s="100">
        <f t="shared" si="470"/>
        <v>24084290.400000002</v>
      </c>
      <c r="M408" s="100">
        <f t="shared" ref="M408:O408" si="471">+M410+M425+M419</f>
        <v>29708815.530000001</v>
      </c>
      <c r="N408" s="100">
        <f t="shared" si="471"/>
        <v>0</v>
      </c>
      <c r="O408" s="100">
        <f t="shared" si="471"/>
        <v>0</v>
      </c>
      <c r="P408" s="100">
        <f t="shared" si="379"/>
        <v>58965182.900000006</v>
      </c>
      <c r="Q408" s="100">
        <f t="shared" si="380"/>
        <v>24578550.170000002</v>
      </c>
      <c r="R408" s="100">
        <f t="shared" si="381"/>
        <v>24084290.400000002</v>
      </c>
      <c r="S408" s="100">
        <f t="shared" ref="S408:U408" si="472">+S410+S425+S419</f>
        <v>-5864205.0100000007</v>
      </c>
      <c r="T408" s="100">
        <f t="shared" si="472"/>
        <v>0</v>
      </c>
      <c r="U408" s="100">
        <f t="shared" si="472"/>
        <v>0</v>
      </c>
      <c r="V408" s="100">
        <f t="shared" si="467"/>
        <v>53100977.890000008</v>
      </c>
      <c r="W408" s="100">
        <f t="shared" si="468"/>
        <v>24578550.170000002</v>
      </c>
      <c r="X408" s="100">
        <f t="shared" si="469"/>
        <v>24084290.400000002</v>
      </c>
    </row>
    <row r="409" spans="1:24">
      <c r="A409" s="2"/>
      <c r="B409" s="65"/>
      <c r="C409" s="65"/>
      <c r="D409" s="1"/>
      <c r="E409" s="1"/>
      <c r="F409" s="1"/>
      <c r="G409" s="1"/>
      <c r="H409" s="1"/>
      <c r="I409" s="13"/>
      <c r="J409" s="104"/>
      <c r="K409" s="104"/>
      <c r="L409" s="104"/>
      <c r="M409" s="104"/>
      <c r="N409" s="104"/>
      <c r="O409" s="104"/>
      <c r="P409" s="104">
        <f t="shared" si="379"/>
        <v>0</v>
      </c>
      <c r="Q409" s="104">
        <f t="shared" si="380"/>
        <v>0</v>
      </c>
      <c r="R409" s="104">
        <f t="shared" si="381"/>
        <v>0</v>
      </c>
      <c r="S409" s="104"/>
      <c r="T409" s="104"/>
      <c r="U409" s="104"/>
      <c r="V409" s="104">
        <f t="shared" si="467"/>
        <v>0</v>
      </c>
      <c r="W409" s="104">
        <f t="shared" si="468"/>
        <v>0</v>
      </c>
      <c r="X409" s="104">
        <f t="shared" si="469"/>
        <v>0</v>
      </c>
    </row>
    <row r="410" spans="1:24" ht="25.5">
      <c r="A410" s="18" t="s">
        <v>34</v>
      </c>
      <c r="B410" s="14" t="s">
        <v>63</v>
      </c>
      <c r="C410" s="14" t="s">
        <v>20</v>
      </c>
      <c r="D410" s="14" t="s">
        <v>3</v>
      </c>
      <c r="E410" s="14"/>
      <c r="F410" s="14"/>
      <c r="G410" s="14"/>
      <c r="H410" s="1"/>
      <c r="I410" s="13"/>
      <c r="J410" s="101">
        <f>J411</f>
        <v>21334846</v>
      </c>
      <c r="K410" s="101">
        <f t="shared" ref="K410:O412" si="473">K411</f>
        <v>21533880.620000001</v>
      </c>
      <c r="L410" s="101">
        <f t="shared" si="473"/>
        <v>21601905.420000002</v>
      </c>
      <c r="M410" s="101">
        <f t="shared" si="473"/>
        <v>0</v>
      </c>
      <c r="N410" s="101">
        <f t="shared" si="473"/>
        <v>0</v>
      </c>
      <c r="O410" s="101">
        <f t="shared" si="473"/>
        <v>0</v>
      </c>
      <c r="P410" s="101">
        <f t="shared" ref="P410:P429" si="474">J410+M410</f>
        <v>21334846</v>
      </c>
      <c r="Q410" s="101">
        <f t="shared" ref="Q410:Q429" si="475">K410+N410</f>
        <v>21533880.620000001</v>
      </c>
      <c r="R410" s="101">
        <f t="shared" ref="R410:R429" si="476">L410+O410</f>
        <v>21601905.420000002</v>
      </c>
      <c r="S410" s="101">
        <f t="shared" ref="S410:U412" si="477">S411</f>
        <v>0</v>
      </c>
      <c r="T410" s="101">
        <f t="shared" si="477"/>
        <v>0</v>
      </c>
      <c r="U410" s="101">
        <f t="shared" si="477"/>
        <v>0</v>
      </c>
      <c r="V410" s="101">
        <f t="shared" si="467"/>
        <v>21334846</v>
      </c>
      <c r="W410" s="101">
        <f t="shared" si="468"/>
        <v>21533880.620000001</v>
      </c>
      <c r="X410" s="101">
        <f t="shared" si="469"/>
        <v>21601905.420000002</v>
      </c>
    </row>
    <row r="411" spans="1:24" ht="38.25">
      <c r="A411" s="34" t="s">
        <v>294</v>
      </c>
      <c r="B411" s="1" t="s">
        <v>63</v>
      </c>
      <c r="C411" s="1" t="s">
        <v>20</v>
      </c>
      <c r="D411" s="1" t="s">
        <v>3</v>
      </c>
      <c r="E411" s="1" t="s">
        <v>19</v>
      </c>
      <c r="F411" s="1" t="s">
        <v>70</v>
      </c>
      <c r="G411" s="1" t="s">
        <v>148</v>
      </c>
      <c r="H411" s="1" t="s">
        <v>149</v>
      </c>
      <c r="I411" s="13"/>
      <c r="J411" s="81">
        <f>J412</f>
        <v>21334846</v>
      </c>
      <c r="K411" s="81">
        <f t="shared" si="473"/>
        <v>21533880.620000001</v>
      </c>
      <c r="L411" s="81">
        <f t="shared" si="473"/>
        <v>21601905.420000002</v>
      </c>
      <c r="M411" s="81">
        <f t="shared" si="473"/>
        <v>0</v>
      </c>
      <c r="N411" s="81">
        <f t="shared" si="473"/>
        <v>0</v>
      </c>
      <c r="O411" s="81">
        <f t="shared" si="473"/>
        <v>0</v>
      </c>
      <c r="P411" s="81">
        <f t="shared" si="474"/>
        <v>21334846</v>
      </c>
      <c r="Q411" s="81">
        <f t="shared" si="475"/>
        <v>21533880.620000001</v>
      </c>
      <c r="R411" s="81">
        <f t="shared" si="476"/>
        <v>21601905.420000002</v>
      </c>
      <c r="S411" s="81">
        <f t="shared" si="477"/>
        <v>0</v>
      </c>
      <c r="T411" s="81">
        <f t="shared" si="477"/>
        <v>0</v>
      </c>
      <c r="U411" s="81">
        <f t="shared" si="477"/>
        <v>0</v>
      </c>
      <c r="V411" s="81">
        <f t="shared" si="467"/>
        <v>21334846</v>
      </c>
      <c r="W411" s="81">
        <f t="shared" si="468"/>
        <v>21533880.620000001</v>
      </c>
      <c r="X411" s="81">
        <f t="shared" si="469"/>
        <v>21601905.420000002</v>
      </c>
    </row>
    <row r="412" spans="1:24" ht="25.5">
      <c r="A412" s="34" t="s">
        <v>296</v>
      </c>
      <c r="B412" s="1" t="s">
        <v>63</v>
      </c>
      <c r="C412" s="1" t="s">
        <v>20</v>
      </c>
      <c r="D412" s="1" t="s">
        <v>3</v>
      </c>
      <c r="E412" s="1" t="s">
        <v>19</v>
      </c>
      <c r="F412" s="1" t="s">
        <v>127</v>
      </c>
      <c r="G412" s="1" t="s">
        <v>148</v>
      </c>
      <c r="H412" s="1" t="s">
        <v>149</v>
      </c>
      <c r="I412" s="13"/>
      <c r="J412" s="81">
        <f>J413</f>
        <v>21334846</v>
      </c>
      <c r="K412" s="81">
        <f t="shared" si="473"/>
        <v>21533880.620000001</v>
      </c>
      <c r="L412" s="81">
        <f t="shared" si="473"/>
        <v>21601905.420000002</v>
      </c>
      <c r="M412" s="81">
        <f t="shared" si="473"/>
        <v>0</v>
      </c>
      <c r="N412" s="81">
        <f t="shared" si="473"/>
        <v>0</v>
      </c>
      <c r="O412" s="81">
        <f t="shared" si="473"/>
        <v>0</v>
      </c>
      <c r="P412" s="81">
        <f t="shared" si="474"/>
        <v>21334846</v>
      </c>
      <c r="Q412" s="81">
        <f t="shared" si="475"/>
        <v>21533880.620000001</v>
      </c>
      <c r="R412" s="81">
        <f t="shared" si="476"/>
        <v>21601905.420000002</v>
      </c>
      <c r="S412" s="81">
        <f t="shared" si="477"/>
        <v>0</v>
      </c>
      <c r="T412" s="81">
        <f t="shared" si="477"/>
        <v>0</v>
      </c>
      <c r="U412" s="81">
        <f t="shared" si="477"/>
        <v>0</v>
      </c>
      <c r="V412" s="81">
        <f t="shared" si="467"/>
        <v>21334846</v>
      </c>
      <c r="W412" s="81">
        <f t="shared" si="468"/>
        <v>21533880.620000001</v>
      </c>
      <c r="X412" s="81">
        <f t="shared" si="469"/>
        <v>21601905.420000002</v>
      </c>
    </row>
    <row r="413" spans="1:24" ht="25.5">
      <c r="A413" s="11" t="s">
        <v>87</v>
      </c>
      <c r="B413" s="1" t="s">
        <v>63</v>
      </c>
      <c r="C413" s="1" t="s">
        <v>20</v>
      </c>
      <c r="D413" s="1" t="s">
        <v>3</v>
      </c>
      <c r="E413" s="1" t="s">
        <v>19</v>
      </c>
      <c r="F413" s="1" t="s">
        <v>127</v>
      </c>
      <c r="G413" s="1" t="s">
        <v>148</v>
      </c>
      <c r="H413" s="1" t="s">
        <v>158</v>
      </c>
      <c r="I413" s="13"/>
      <c r="J413" s="81">
        <f>J414+J416</f>
        <v>21334846</v>
      </c>
      <c r="K413" s="81">
        <f t="shared" ref="K413:L413" si="478">K414+K416</f>
        <v>21533880.620000001</v>
      </c>
      <c r="L413" s="81">
        <f t="shared" si="478"/>
        <v>21601905.420000002</v>
      </c>
      <c r="M413" s="81">
        <f t="shared" ref="M413:O413" si="479">M414+M416</f>
        <v>0</v>
      </c>
      <c r="N413" s="81">
        <f t="shared" si="479"/>
        <v>0</v>
      </c>
      <c r="O413" s="81">
        <f t="shared" si="479"/>
        <v>0</v>
      </c>
      <c r="P413" s="81">
        <f t="shared" si="474"/>
        <v>21334846</v>
      </c>
      <c r="Q413" s="81">
        <f t="shared" si="475"/>
        <v>21533880.620000001</v>
      </c>
      <c r="R413" s="81">
        <f t="shared" si="476"/>
        <v>21601905.420000002</v>
      </c>
      <c r="S413" s="81">
        <f t="shared" ref="S413:U413" si="480">S414+S416</f>
        <v>0</v>
      </c>
      <c r="T413" s="81">
        <f t="shared" si="480"/>
        <v>0</v>
      </c>
      <c r="U413" s="81">
        <f t="shared" si="480"/>
        <v>0</v>
      </c>
      <c r="V413" s="81">
        <f t="shared" si="467"/>
        <v>21334846</v>
      </c>
      <c r="W413" s="81">
        <f t="shared" si="468"/>
        <v>21533880.620000001</v>
      </c>
      <c r="X413" s="81">
        <f t="shared" si="469"/>
        <v>21601905.420000002</v>
      </c>
    </row>
    <row r="414" spans="1:24" ht="38.25">
      <c r="A414" s="77" t="s">
        <v>96</v>
      </c>
      <c r="B414" s="1" t="s">
        <v>63</v>
      </c>
      <c r="C414" s="1" t="s">
        <v>20</v>
      </c>
      <c r="D414" s="1" t="s">
        <v>3</v>
      </c>
      <c r="E414" s="1" t="s">
        <v>19</v>
      </c>
      <c r="F414" s="1" t="s">
        <v>127</v>
      </c>
      <c r="G414" s="1" t="s">
        <v>148</v>
      </c>
      <c r="H414" s="1" t="s">
        <v>158</v>
      </c>
      <c r="I414" s="13" t="s">
        <v>92</v>
      </c>
      <c r="J414" s="81">
        <f>J415</f>
        <v>20553046</v>
      </c>
      <c r="K414" s="81">
        <f t="shared" ref="K414:O414" si="481">K415</f>
        <v>20752080.620000001</v>
      </c>
      <c r="L414" s="81">
        <f t="shared" si="481"/>
        <v>20820105.420000002</v>
      </c>
      <c r="M414" s="81">
        <f t="shared" si="481"/>
        <v>0</v>
      </c>
      <c r="N414" s="81">
        <f t="shared" si="481"/>
        <v>0</v>
      </c>
      <c r="O414" s="81">
        <f t="shared" si="481"/>
        <v>0</v>
      </c>
      <c r="P414" s="81">
        <f t="shared" si="474"/>
        <v>20553046</v>
      </c>
      <c r="Q414" s="81">
        <f t="shared" si="475"/>
        <v>20752080.620000001</v>
      </c>
      <c r="R414" s="81">
        <f t="shared" si="476"/>
        <v>20820105.420000002</v>
      </c>
      <c r="S414" s="81">
        <f t="shared" ref="S414:U414" si="482">S415</f>
        <v>0</v>
      </c>
      <c r="T414" s="81">
        <f t="shared" si="482"/>
        <v>0</v>
      </c>
      <c r="U414" s="81">
        <f t="shared" si="482"/>
        <v>0</v>
      </c>
      <c r="V414" s="81">
        <f t="shared" si="467"/>
        <v>20553046</v>
      </c>
      <c r="W414" s="81">
        <f t="shared" si="468"/>
        <v>20752080.620000001</v>
      </c>
      <c r="X414" s="81">
        <f t="shared" si="469"/>
        <v>20820105.420000002</v>
      </c>
    </row>
    <row r="415" spans="1:24">
      <c r="A415" s="77" t="s">
        <v>103</v>
      </c>
      <c r="B415" s="1" t="s">
        <v>63</v>
      </c>
      <c r="C415" s="1" t="s">
        <v>20</v>
      </c>
      <c r="D415" s="1" t="s">
        <v>3</v>
      </c>
      <c r="E415" s="1" t="s">
        <v>19</v>
      </c>
      <c r="F415" s="1" t="s">
        <v>127</v>
      </c>
      <c r="G415" s="1" t="s">
        <v>148</v>
      </c>
      <c r="H415" s="1" t="s">
        <v>158</v>
      </c>
      <c r="I415" s="13" t="s">
        <v>102</v>
      </c>
      <c r="J415" s="81">
        <v>20553046</v>
      </c>
      <c r="K415" s="81">
        <v>20752080.620000001</v>
      </c>
      <c r="L415" s="81">
        <v>20820105.420000002</v>
      </c>
      <c r="M415" s="81"/>
      <c r="N415" s="81"/>
      <c r="O415" s="81"/>
      <c r="P415" s="81">
        <f t="shared" si="474"/>
        <v>20553046</v>
      </c>
      <c r="Q415" s="81">
        <f t="shared" si="475"/>
        <v>20752080.620000001</v>
      </c>
      <c r="R415" s="81">
        <f t="shared" si="476"/>
        <v>20820105.420000002</v>
      </c>
      <c r="S415" s="81"/>
      <c r="T415" s="81"/>
      <c r="U415" s="81"/>
      <c r="V415" s="81">
        <f t="shared" si="467"/>
        <v>20553046</v>
      </c>
      <c r="W415" s="81">
        <f t="shared" si="468"/>
        <v>20752080.620000001</v>
      </c>
      <c r="X415" s="81">
        <f t="shared" si="469"/>
        <v>20820105.420000002</v>
      </c>
    </row>
    <row r="416" spans="1:24" ht="25.5">
      <c r="A416" s="78" t="s">
        <v>260</v>
      </c>
      <c r="B416" s="1" t="s">
        <v>63</v>
      </c>
      <c r="C416" s="1" t="s">
        <v>20</v>
      </c>
      <c r="D416" s="1" t="s">
        <v>3</v>
      </c>
      <c r="E416" s="1" t="s">
        <v>19</v>
      </c>
      <c r="F416" s="1" t="s">
        <v>127</v>
      </c>
      <c r="G416" s="1" t="s">
        <v>148</v>
      </c>
      <c r="H416" s="1" t="s">
        <v>158</v>
      </c>
      <c r="I416" s="13" t="s">
        <v>94</v>
      </c>
      <c r="J416" s="81">
        <f>J417</f>
        <v>781800</v>
      </c>
      <c r="K416" s="81">
        <f t="shared" ref="K416:O416" si="483">K417</f>
        <v>781800</v>
      </c>
      <c r="L416" s="81">
        <f t="shared" si="483"/>
        <v>781800</v>
      </c>
      <c r="M416" s="81">
        <f t="shared" si="483"/>
        <v>0</v>
      </c>
      <c r="N416" s="81">
        <f t="shared" si="483"/>
        <v>0</v>
      </c>
      <c r="O416" s="81">
        <f t="shared" si="483"/>
        <v>0</v>
      </c>
      <c r="P416" s="81">
        <f t="shared" si="474"/>
        <v>781800</v>
      </c>
      <c r="Q416" s="81">
        <f t="shared" si="475"/>
        <v>781800</v>
      </c>
      <c r="R416" s="81">
        <f t="shared" si="476"/>
        <v>781800</v>
      </c>
      <c r="S416" s="81">
        <f t="shared" ref="S416:U416" si="484">S417</f>
        <v>0</v>
      </c>
      <c r="T416" s="81">
        <f t="shared" si="484"/>
        <v>0</v>
      </c>
      <c r="U416" s="81">
        <f t="shared" si="484"/>
        <v>0</v>
      </c>
      <c r="V416" s="81">
        <f t="shared" si="467"/>
        <v>781800</v>
      </c>
      <c r="W416" s="81">
        <f t="shared" si="468"/>
        <v>781800</v>
      </c>
      <c r="X416" s="81">
        <f t="shared" si="469"/>
        <v>781800</v>
      </c>
    </row>
    <row r="417" spans="1:24" ht="25.5">
      <c r="A417" s="77" t="s">
        <v>98</v>
      </c>
      <c r="B417" s="1" t="s">
        <v>63</v>
      </c>
      <c r="C417" s="1" t="s">
        <v>20</v>
      </c>
      <c r="D417" s="1" t="s">
        <v>3</v>
      </c>
      <c r="E417" s="1" t="s">
        <v>19</v>
      </c>
      <c r="F417" s="1" t="s">
        <v>127</v>
      </c>
      <c r="G417" s="1" t="s">
        <v>148</v>
      </c>
      <c r="H417" s="1" t="s">
        <v>158</v>
      </c>
      <c r="I417" s="13" t="s">
        <v>95</v>
      </c>
      <c r="J417" s="81">
        <v>781800</v>
      </c>
      <c r="K417" s="81">
        <v>781800</v>
      </c>
      <c r="L417" s="81">
        <v>781800</v>
      </c>
      <c r="M417" s="81"/>
      <c r="N417" s="81"/>
      <c r="O417" s="81"/>
      <c r="P417" s="81">
        <f t="shared" si="474"/>
        <v>781800</v>
      </c>
      <c r="Q417" s="81">
        <f t="shared" si="475"/>
        <v>781800</v>
      </c>
      <c r="R417" s="81">
        <f t="shared" si="476"/>
        <v>781800</v>
      </c>
      <c r="S417" s="81"/>
      <c r="T417" s="81"/>
      <c r="U417" s="81"/>
      <c r="V417" s="81">
        <f t="shared" si="467"/>
        <v>781800</v>
      </c>
      <c r="W417" s="81">
        <f t="shared" si="468"/>
        <v>781800</v>
      </c>
      <c r="X417" s="81">
        <f t="shared" si="469"/>
        <v>781800</v>
      </c>
    </row>
    <row r="418" spans="1:24">
      <c r="A418" s="11"/>
      <c r="B418" s="1"/>
      <c r="C418" s="1"/>
      <c r="D418" s="1"/>
      <c r="E418" s="1"/>
      <c r="F418" s="1"/>
      <c r="G418" s="1"/>
      <c r="H418" s="1"/>
      <c r="I418" s="13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</row>
    <row r="419" spans="1:24">
      <c r="A419" s="4" t="s">
        <v>22</v>
      </c>
      <c r="B419" s="14" t="s">
        <v>63</v>
      </c>
      <c r="C419" s="14" t="s">
        <v>20</v>
      </c>
      <c r="D419" s="14" t="s">
        <v>19</v>
      </c>
      <c r="E419" s="14"/>
      <c r="F419" s="14"/>
      <c r="G419" s="14"/>
      <c r="H419" s="1"/>
      <c r="I419" s="13"/>
      <c r="J419" s="101">
        <f t="shared" ref="J419:O422" si="485">J420</f>
        <v>3382000</v>
      </c>
      <c r="K419" s="101">
        <f t="shared" si="485"/>
        <v>2000000</v>
      </c>
      <c r="L419" s="101">
        <f t="shared" si="485"/>
        <v>1500000</v>
      </c>
      <c r="M419" s="101">
        <f t="shared" si="485"/>
        <v>0</v>
      </c>
      <c r="N419" s="101">
        <f t="shared" si="485"/>
        <v>0</v>
      </c>
      <c r="O419" s="101">
        <f t="shared" si="485"/>
        <v>0</v>
      </c>
      <c r="P419" s="101">
        <f t="shared" si="474"/>
        <v>3382000</v>
      </c>
      <c r="Q419" s="101">
        <f t="shared" si="475"/>
        <v>2000000</v>
      </c>
      <c r="R419" s="101">
        <f t="shared" si="476"/>
        <v>1500000</v>
      </c>
      <c r="S419" s="101">
        <f t="shared" ref="S419:U422" si="486">S420</f>
        <v>-1743883.76</v>
      </c>
      <c r="T419" s="101">
        <f t="shared" si="486"/>
        <v>0</v>
      </c>
      <c r="U419" s="101">
        <f t="shared" si="486"/>
        <v>0</v>
      </c>
      <c r="V419" s="101">
        <f t="shared" ref="V419:V423" si="487">P419+S419</f>
        <v>1638116.24</v>
      </c>
      <c r="W419" s="101">
        <f t="shared" ref="W419:W423" si="488">Q419+T419</f>
        <v>2000000</v>
      </c>
      <c r="X419" s="101">
        <f t="shared" ref="X419:X423" si="489">R419+U419</f>
        <v>1500000</v>
      </c>
    </row>
    <row r="420" spans="1:24">
      <c r="A420" s="2" t="s">
        <v>83</v>
      </c>
      <c r="B420" s="1" t="s">
        <v>63</v>
      </c>
      <c r="C420" s="1" t="s">
        <v>20</v>
      </c>
      <c r="D420" s="1" t="s">
        <v>19</v>
      </c>
      <c r="E420" s="1" t="s">
        <v>82</v>
      </c>
      <c r="F420" s="1" t="s">
        <v>70</v>
      </c>
      <c r="G420" s="1" t="s">
        <v>148</v>
      </c>
      <c r="H420" s="1" t="s">
        <v>149</v>
      </c>
      <c r="I420" s="13"/>
      <c r="J420" s="81">
        <f t="shared" si="485"/>
        <v>3382000</v>
      </c>
      <c r="K420" s="81">
        <f t="shared" si="485"/>
        <v>2000000</v>
      </c>
      <c r="L420" s="81">
        <f t="shared" si="485"/>
        <v>1500000</v>
      </c>
      <c r="M420" s="81">
        <f t="shared" si="485"/>
        <v>0</v>
      </c>
      <c r="N420" s="81">
        <f t="shared" si="485"/>
        <v>0</v>
      </c>
      <c r="O420" s="81">
        <f t="shared" si="485"/>
        <v>0</v>
      </c>
      <c r="P420" s="81">
        <f t="shared" si="474"/>
        <v>3382000</v>
      </c>
      <c r="Q420" s="81">
        <f t="shared" si="475"/>
        <v>2000000</v>
      </c>
      <c r="R420" s="81">
        <f t="shared" si="476"/>
        <v>1500000</v>
      </c>
      <c r="S420" s="81">
        <f t="shared" si="486"/>
        <v>-1743883.76</v>
      </c>
      <c r="T420" s="81">
        <f t="shared" si="486"/>
        <v>0</v>
      </c>
      <c r="U420" s="81">
        <f t="shared" si="486"/>
        <v>0</v>
      </c>
      <c r="V420" s="81">
        <f t="shared" si="487"/>
        <v>1638116.24</v>
      </c>
      <c r="W420" s="81">
        <f t="shared" si="488"/>
        <v>2000000</v>
      </c>
      <c r="X420" s="81">
        <f t="shared" si="489"/>
        <v>1500000</v>
      </c>
    </row>
    <row r="421" spans="1:24">
      <c r="A421" s="5" t="s">
        <v>332</v>
      </c>
      <c r="B421" s="1" t="s">
        <v>63</v>
      </c>
      <c r="C421" s="1" t="s">
        <v>20</v>
      </c>
      <c r="D421" s="1" t="s">
        <v>19</v>
      </c>
      <c r="E421" s="1" t="s">
        <v>82</v>
      </c>
      <c r="F421" s="1" t="s">
        <v>70</v>
      </c>
      <c r="G421" s="1" t="s">
        <v>148</v>
      </c>
      <c r="H421" s="1" t="s">
        <v>185</v>
      </c>
      <c r="I421" s="13"/>
      <c r="J421" s="81">
        <f t="shared" si="485"/>
        <v>3382000</v>
      </c>
      <c r="K421" s="81">
        <f t="shared" si="485"/>
        <v>2000000</v>
      </c>
      <c r="L421" s="81">
        <f t="shared" si="485"/>
        <v>1500000</v>
      </c>
      <c r="M421" s="81">
        <f t="shared" si="485"/>
        <v>0</v>
      </c>
      <c r="N421" s="81">
        <f t="shared" si="485"/>
        <v>0</v>
      </c>
      <c r="O421" s="81">
        <f t="shared" si="485"/>
        <v>0</v>
      </c>
      <c r="P421" s="81">
        <f t="shared" si="474"/>
        <v>3382000</v>
      </c>
      <c r="Q421" s="81">
        <f t="shared" si="475"/>
        <v>2000000</v>
      </c>
      <c r="R421" s="81">
        <f t="shared" si="476"/>
        <v>1500000</v>
      </c>
      <c r="S421" s="81">
        <f t="shared" si="486"/>
        <v>-1743883.76</v>
      </c>
      <c r="T421" s="81">
        <f t="shared" si="486"/>
        <v>0</v>
      </c>
      <c r="U421" s="81">
        <f t="shared" si="486"/>
        <v>0</v>
      </c>
      <c r="V421" s="81">
        <f t="shared" si="487"/>
        <v>1638116.24</v>
      </c>
      <c r="W421" s="81">
        <f t="shared" si="488"/>
        <v>2000000</v>
      </c>
      <c r="X421" s="81">
        <f t="shared" si="489"/>
        <v>1500000</v>
      </c>
    </row>
    <row r="422" spans="1:24">
      <c r="A422" s="2" t="s">
        <v>80</v>
      </c>
      <c r="B422" s="1" t="s">
        <v>63</v>
      </c>
      <c r="C422" s="1" t="s">
        <v>20</v>
      </c>
      <c r="D422" s="1" t="s">
        <v>19</v>
      </c>
      <c r="E422" s="1" t="s">
        <v>82</v>
      </c>
      <c r="F422" s="1" t="s">
        <v>70</v>
      </c>
      <c r="G422" s="1" t="s">
        <v>148</v>
      </c>
      <c r="H422" s="1" t="s">
        <v>185</v>
      </c>
      <c r="I422" s="13" t="s">
        <v>77</v>
      </c>
      <c r="J422" s="81">
        <f t="shared" si="485"/>
        <v>3382000</v>
      </c>
      <c r="K422" s="81">
        <f t="shared" si="485"/>
        <v>2000000</v>
      </c>
      <c r="L422" s="81">
        <f t="shared" si="485"/>
        <v>1500000</v>
      </c>
      <c r="M422" s="81">
        <f t="shared" si="485"/>
        <v>0</v>
      </c>
      <c r="N422" s="81">
        <f t="shared" si="485"/>
        <v>0</v>
      </c>
      <c r="O422" s="81">
        <f t="shared" si="485"/>
        <v>0</v>
      </c>
      <c r="P422" s="81">
        <f t="shared" si="474"/>
        <v>3382000</v>
      </c>
      <c r="Q422" s="81">
        <f t="shared" si="475"/>
        <v>2000000</v>
      </c>
      <c r="R422" s="81">
        <f t="shared" si="476"/>
        <v>1500000</v>
      </c>
      <c r="S422" s="81">
        <f t="shared" si="486"/>
        <v>-1743883.76</v>
      </c>
      <c r="T422" s="81">
        <f t="shared" si="486"/>
        <v>0</v>
      </c>
      <c r="U422" s="81">
        <f t="shared" si="486"/>
        <v>0</v>
      </c>
      <c r="V422" s="81">
        <f t="shared" si="487"/>
        <v>1638116.24</v>
      </c>
      <c r="W422" s="81">
        <f t="shared" si="488"/>
        <v>2000000</v>
      </c>
      <c r="X422" s="81">
        <f t="shared" si="489"/>
        <v>1500000</v>
      </c>
    </row>
    <row r="423" spans="1:24">
      <c r="A423" s="2" t="s">
        <v>105</v>
      </c>
      <c r="B423" s="1" t="s">
        <v>63</v>
      </c>
      <c r="C423" s="1" t="s">
        <v>20</v>
      </c>
      <c r="D423" s="1" t="s">
        <v>19</v>
      </c>
      <c r="E423" s="1" t="s">
        <v>82</v>
      </c>
      <c r="F423" s="1" t="s">
        <v>70</v>
      </c>
      <c r="G423" s="1" t="s">
        <v>148</v>
      </c>
      <c r="H423" s="1" t="s">
        <v>185</v>
      </c>
      <c r="I423" s="13" t="s">
        <v>104</v>
      </c>
      <c r="J423" s="81">
        <v>3382000</v>
      </c>
      <c r="K423" s="81">
        <v>2000000</v>
      </c>
      <c r="L423" s="81">
        <v>1500000</v>
      </c>
      <c r="M423" s="81"/>
      <c r="N423" s="81"/>
      <c r="O423" s="81"/>
      <c r="P423" s="81">
        <f t="shared" si="474"/>
        <v>3382000</v>
      </c>
      <c r="Q423" s="81">
        <f t="shared" si="475"/>
        <v>2000000</v>
      </c>
      <c r="R423" s="81">
        <f t="shared" si="476"/>
        <v>1500000</v>
      </c>
      <c r="S423" s="81">
        <f>-60000-257793.76-344890-38000-43200-1000000</f>
        <v>-1743883.76</v>
      </c>
      <c r="T423" s="81"/>
      <c r="U423" s="81"/>
      <c r="V423" s="81">
        <f t="shared" si="487"/>
        <v>1638116.24</v>
      </c>
      <c r="W423" s="81">
        <f t="shared" si="488"/>
        <v>2000000</v>
      </c>
      <c r="X423" s="81">
        <f t="shared" si="489"/>
        <v>1500000</v>
      </c>
    </row>
    <row r="424" spans="1:24">
      <c r="A424" s="2"/>
      <c r="B424" s="1"/>
      <c r="C424" s="1"/>
      <c r="D424" s="1"/>
      <c r="E424" s="1"/>
      <c r="F424" s="1"/>
      <c r="G424" s="1"/>
      <c r="H424" s="1"/>
      <c r="I424" s="13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</row>
    <row r="425" spans="1:24">
      <c r="A425" s="4" t="s">
        <v>1</v>
      </c>
      <c r="B425" s="14" t="s">
        <v>63</v>
      </c>
      <c r="C425" s="14" t="s">
        <v>20</v>
      </c>
      <c r="D425" s="14" t="s">
        <v>49</v>
      </c>
      <c r="E425" s="14"/>
      <c r="F425" s="14"/>
      <c r="G425" s="14"/>
      <c r="H425" s="1"/>
      <c r="I425" s="13"/>
      <c r="J425" s="101">
        <f>J426</f>
        <v>4539521.37</v>
      </c>
      <c r="K425" s="101">
        <f t="shared" ref="K425:O425" si="490">K426</f>
        <v>1044669.55</v>
      </c>
      <c r="L425" s="101">
        <f t="shared" si="490"/>
        <v>982384.98</v>
      </c>
      <c r="M425" s="101">
        <f t="shared" si="490"/>
        <v>29708815.530000001</v>
      </c>
      <c r="N425" s="101">
        <f t="shared" si="490"/>
        <v>0</v>
      </c>
      <c r="O425" s="101">
        <f t="shared" si="490"/>
        <v>0</v>
      </c>
      <c r="P425" s="101">
        <f t="shared" si="474"/>
        <v>34248336.899999999</v>
      </c>
      <c r="Q425" s="101">
        <f t="shared" si="475"/>
        <v>1044669.55</v>
      </c>
      <c r="R425" s="101">
        <f t="shared" si="476"/>
        <v>982384.98</v>
      </c>
      <c r="S425" s="101">
        <f t="shared" ref="S425:U425" si="491">S426</f>
        <v>-4120321.2500000005</v>
      </c>
      <c r="T425" s="101">
        <f t="shared" si="491"/>
        <v>0</v>
      </c>
      <c r="U425" s="101">
        <f t="shared" si="491"/>
        <v>0</v>
      </c>
      <c r="V425" s="101">
        <f t="shared" ref="V425:V435" si="492">P425+S425</f>
        <v>30128015.649999999</v>
      </c>
      <c r="W425" s="101">
        <f t="shared" ref="W425:W435" si="493">Q425+T425</f>
        <v>1044669.55</v>
      </c>
      <c r="X425" s="101">
        <f t="shared" ref="X425:X435" si="494">R425+U425</f>
        <v>982384.98</v>
      </c>
    </row>
    <row r="426" spans="1:24">
      <c r="A426" s="2" t="s">
        <v>83</v>
      </c>
      <c r="B426" s="10" t="s">
        <v>63</v>
      </c>
      <c r="C426" s="10" t="s">
        <v>20</v>
      </c>
      <c r="D426" s="1" t="s">
        <v>49</v>
      </c>
      <c r="E426" s="1" t="s">
        <v>82</v>
      </c>
      <c r="F426" s="1" t="s">
        <v>70</v>
      </c>
      <c r="G426" s="1" t="s">
        <v>148</v>
      </c>
      <c r="H426" s="1" t="s">
        <v>149</v>
      </c>
      <c r="I426" s="13"/>
      <c r="J426" s="81">
        <f>J427+J430+J433</f>
        <v>4539521.37</v>
      </c>
      <c r="K426" s="81">
        <f t="shared" ref="K426:O426" si="495">K427+K430+K433</f>
        <v>1044669.55</v>
      </c>
      <c r="L426" s="81">
        <f t="shared" si="495"/>
        <v>982384.98</v>
      </c>
      <c r="M426" s="81">
        <f t="shared" si="495"/>
        <v>29708815.530000001</v>
      </c>
      <c r="N426" s="81">
        <f t="shared" si="495"/>
        <v>0</v>
      </c>
      <c r="O426" s="81">
        <f t="shared" si="495"/>
        <v>0</v>
      </c>
      <c r="P426" s="81">
        <f t="shared" si="474"/>
        <v>34248336.899999999</v>
      </c>
      <c r="Q426" s="81">
        <f t="shared" si="475"/>
        <v>1044669.55</v>
      </c>
      <c r="R426" s="81">
        <f t="shared" si="476"/>
        <v>982384.98</v>
      </c>
      <c r="S426" s="81">
        <f t="shared" ref="S426:U426" si="496">S427+S430+S433</f>
        <v>-4120321.2500000005</v>
      </c>
      <c r="T426" s="81">
        <f t="shared" si="496"/>
        <v>0</v>
      </c>
      <c r="U426" s="81">
        <f t="shared" si="496"/>
        <v>0</v>
      </c>
      <c r="V426" s="81">
        <f t="shared" si="492"/>
        <v>30128015.649999999</v>
      </c>
      <c r="W426" s="81">
        <f t="shared" si="493"/>
        <v>1044669.55</v>
      </c>
      <c r="X426" s="81">
        <f t="shared" si="494"/>
        <v>982384.98</v>
      </c>
    </row>
    <row r="427" spans="1:24" ht="38.25">
      <c r="A427" s="89" t="s">
        <v>235</v>
      </c>
      <c r="B427" s="10" t="s">
        <v>63</v>
      </c>
      <c r="C427" s="10" t="s">
        <v>20</v>
      </c>
      <c r="D427" s="1" t="s">
        <v>49</v>
      </c>
      <c r="E427" s="1" t="s">
        <v>82</v>
      </c>
      <c r="F427" s="1" t="s">
        <v>70</v>
      </c>
      <c r="G427" s="1" t="s">
        <v>148</v>
      </c>
      <c r="H427" s="1" t="s">
        <v>234</v>
      </c>
      <c r="I427" s="73"/>
      <c r="J427" s="81">
        <f>J428</f>
        <v>4539521.37</v>
      </c>
      <c r="K427" s="81">
        <f t="shared" ref="K427:O428" si="497">K428</f>
        <v>1044669.55</v>
      </c>
      <c r="L427" s="81">
        <f t="shared" si="497"/>
        <v>982384.98</v>
      </c>
      <c r="M427" s="81">
        <f t="shared" si="497"/>
        <v>0</v>
      </c>
      <c r="N427" s="81">
        <f t="shared" si="497"/>
        <v>0</v>
      </c>
      <c r="O427" s="81">
        <f t="shared" si="497"/>
        <v>0</v>
      </c>
      <c r="P427" s="81">
        <f t="shared" si="474"/>
        <v>4539521.37</v>
      </c>
      <c r="Q427" s="81">
        <f t="shared" si="475"/>
        <v>1044669.55</v>
      </c>
      <c r="R427" s="81">
        <f t="shared" si="476"/>
        <v>982384.98</v>
      </c>
      <c r="S427" s="81">
        <f t="shared" ref="S427:U428" si="498">S428</f>
        <v>-4120320.3600000003</v>
      </c>
      <c r="T427" s="81">
        <f t="shared" si="498"/>
        <v>0</v>
      </c>
      <c r="U427" s="81">
        <f t="shared" si="498"/>
        <v>0</v>
      </c>
      <c r="V427" s="81">
        <f t="shared" si="492"/>
        <v>419201.00999999978</v>
      </c>
      <c r="W427" s="81">
        <f t="shared" si="493"/>
        <v>1044669.55</v>
      </c>
      <c r="X427" s="81">
        <f t="shared" si="494"/>
        <v>982384.98</v>
      </c>
    </row>
    <row r="428" spans="1:24">
      <c r="A428" s="2" t="s">
        <v>80</v>
      </c>
      <c r="B428" s="10" t="s">
        <v>63</v>
      </c>
      <c r="C428" s="10" t="s">
        <v>20</v>
      </c>
      <c r="D428" s="1" t="s">
        <v>49</v>
      </c>
      <c r="E428" s="1" t="s">
        <v>82</v>
      </c>
      <c r="F428" s="1" t="s">
        <v>70</v>
      </c>
      <c r="G428" s="1" t="s">
        <v>148</v>
      </c>
      <c r="H428" s="1" t="s">
        <v>234</v>
      </c>
      <c r="I428" s="73" t="s">
        <v>77</v>
      </c>
      <c r="J428" s="109">
        <f>J429</f>
        <v>4539521.37</v>
      </c>
      <c r="K428" s="109">
        <f t="shared" si="497"/>
        <v>1044669.55</v>
      </c>
      <c r="L428" s="109">
        <f t="shared" si="497"/>
        <v>982384.98</v>
      </c>
      <c r="M428" s="109">
        <f t="shared" si="497"/>
        <v>0</v>
      </c>
      <c r="N428" s="109">
        <f t="shared" si="497"/>
        <v>0</v>
      </c>
      <c r="O428" s="109">
        <f t="shared" si="497"/>
        <v>0</v>
      </c>
      <c r="P428" s="109">
        <f t="shared" si="474"/>
        <v>4539521.37</v>
      </c>
      <c r="Q428" s="109">
        <f t="shared" si="475"/>
        <v>1044669.55</v>
      </c>
      <c r="R428" s="109">
        <f t="shared" si="476"/>
        <v>982384.98</v>
      </c>
      <c r="S428" s="109">
        <f t="shared" si="498"/>
        <v>-4120320.3600000003</v>
      </c>
      <c r="T428" s="109">
        <f t="shared" si="498"/>
        <v>0</v>
      </c>
      <c r="U428" s="109">
        <f t="shared" si="498"/>
        <v>0</v>
      </c>
      <c r="V428" s="109">
        <f t="shared" si="492"/>
        <v>419201.00999999978</v>
      </c>
      <c r="W428" s="109">
        <f t="shared" si="493"/>
        <v>1044669.55</v>
      </c>
      <c r="X428" s="109">
        <f t="shared" si="494"/>
        <v>982384.98</v>
      </c>
    </row>
    <row r="429" spans="1:24">
      <c r="A429" s="2" t="s">
        <v>105</v>
      </c>
      <c r="B429" s="10" t="s">
        <v>63</v>
      </c>
      <c r="C429" s="10" t="s">
        <v>20</v>
      </c>
      <c r="D429" s="1" t="s">
        <v>49</v>
      </c>
      <c r="E429" s="1" t="s">
        <v>82</v>
      </c>
      <c r="F429" s="1" t="s">
        <v>70</v>
      </c>
      <c r="G429" s="1" t="s">
        <v>148</v>
      </c>
      <c r="H429" s="1" t="s">
        <v>234</v>
      </c>
      <c r="I429" s="73" t="s">
        <v>104</v>
      </c>
      <c r="J429" s="81">
        <v>4539521.37</v>
      </c>
      <c r="K429" s="81">
        <v>1044669.55</v>
      </c>
      <c r="L429" s="81">
        <v>982384.98</v>
      </c>
      <c r="M429" s="81"/>
      <c r="N429" s="81"/>
      <c r="O429" s="81"/>
      <c r="P429" s="81">
        <f t="shared" si="474"/>
        <v>4539521.37</v>
      </c>
      <c r="Q429" s="81">
        <f t="shared" si="475"/>
        <v>1044669.55</v>
      </c>
      <c r="R429" s="81">
        <f t="shared" si="476"/>
        <v>982384.98</v>
      </c>
      <c r="S429" s="81">
        <f>-56195.76-10662.8-1226280-391517.34-25879.22-2789292.53+379507.29</f>
        <v>-4120320.3600000003</v>
      </c>
      <c r="T429" s="81"/>
      <c r="U429" s="81"/>
      <c r="V429" s="81">
        <f t="shared" si="492"/>
        <v>419201.00999999978</v>
      </c>
      <c r="W429" s="81">
        <f t="shared" si="493"/>
        <v>1044669.55</v>
      </c>
      <c r="X429" s="81">
        <f t="shared" si="494"/>
        <v>982384.98</v>
      </c>
    </row>
    <row r="430" spans="1:24">
      <c r="A430" s="89" t="s">
        <v>434</v>
      </c>
      <c r="B430" s="10" t="s">
        <v>63</v>
      </c>
      <c r="C430" s="10" t="s">
        <v>20</v>
      </c>
      <c r="D430" s="1" t="s">
        <v>49</v>
      </c>
      <c r="E430" s="1" t="s">
        <v>82</v>
      </c>
      <c r="F430" s="1" t="s">
        <v>70</v>
      </c>
      <c r="G430" s="1" t="s">
        <v>148</v>
      </c>
      <c r="H430" s="36" t="s">
        <v>432</v>
      </c>
      <c r="I430" s="73"/>
      <c r="J430" s="81">
        <f>J431</f>
        <v>0</v>
      </c>
      <c r="K430" s="81">
        <f t="shared" ref="K430:O431" si="499">K431</f>
        <v>0</v>
      </c>
      <c r="L430" s="81">
        <f t="shared" si="499"/>
        <v>0</v>
      </c>
      <c r="M430" s="81">
        <f t="shared" si="499"/>
        <v>19800000</v>
      </c>
      <c r="N430" s="81">
        <f t="shared" si="499"/>
        <v>0</v>
      </c>
      <c r="O430" s="81">
        <f t="shared" si="499"/>
        <v>0</v>
      </c>
      <c r="P430" s="81">
        <f t="shared" ref="P430:P435" si="500">J430+M430</f>
        <v>19800000</v>
      </c>
      <c r="Q430" s="81">
        <f t="shared" ref="Q430:Q435" si="501">K430+N430</f>
        <v>0</v>
      </c>
      <c r="R430" s="81">
        <f t="shared" ref="R430:R435" si="502">L430+O430</f>
        <v>0</v>
      </c>
      <c r="S430" s="81">
        <f t="shared" ref="S430:U431" si="503">S431</f>
        <v>0</v>
      </c>
      <c r="T430" s="81">
        <f t="shared" si="503"/>
        <v>0</v>
      </c>
      <c r="U430" s="81">
        <f t="shared" si="503"/>
        <v>0</v>
      </c>
      <c r="V430" s="81">
        <f t="shared" si="492"/>
        <v>19800000</v>
      </c>
      <c r="W430" s="81">
        <f t="shared" si="493"/>
        <v>0</v>
      </c>
      <c r="X430" s="81">
        <f t="shared" si="494"/>
        <v>0</v>
      </c>
    </row>
    <row r="431" spans="1:24">
      <c r="A431" s="2" t="s">
        <v>80</v>
      </c>
      <c r="B431" s="10" t="s">
        <v>63</v>
      </c>
      <c r="C431" s="10" t="s">
        <v>20</v>
      </c>
      <c r="D431" s="1" t="s">
        <v>49</v>
      </c>
      <c r="E431" s="1" t="s">
        <v>82</v>
      </c>
      <c r="F431" s="1" t="s">
        <v>70</v>
      </c>
      <c r="G431" s="1" t="s">
        <v>148</v>
      </c>
      <c r="H431" s="36" t="s">
        <v>432</v>
      </c>
      <c r="I431" s="73" t="s">
        <v>77</v>
      </c>
      <c r="J431" s="81">
        <f>J432</f>
        <v>0</v>
      </c>
      <c r="K431" s="81">
        <f t="shared" si="499"/>
        <v>0</v>
      </c>
      <c r="L431" s="81">
        <f t="shared" si="499"/>
        <v>0</v>
      </c>
      <c r="M431" s="81">
        <f t="shared" si="499"/>
        <v>19800000</v>
      </c>
      <c r="N431" s="81">
        <f t="shared" si="499"/>
        <v>0</v>
      </c>
      <c r="O431" s="81">
        <f t="shared" si="499"/>
        <v>0</v>
      </c>
      <c r="P431" s="81">
        <f t="shared" si="500"/>
        <v>19800000</v>
      </c>
      <c r="Q431" s="81">
        <f t="shared" si="501"/>
        <v>0</v>
      </c>
      <c r="R431" s="81">
        <f t="shared" si="502"/>
        <v>0</v>
      </c>
      <c r="S431" s="81">
        <f t="shared" si="503"/>
        <v>0</v>
      </c>
      <c r="T431" s="81">
        <f t="shared" si="503"/>
        <v>0</v>
      </c>
      <c r="U431" s="81">
        <f t="shared" si="503"/>
        <v>0</v>
      </c>
      <c r="V431" s="81">
        <f t="shared" si="492"/>
        <v>19800000</v>
      </c>
      <c r="W431" s="81">
        <f t="shared" si="493"/>
        <v>0</v>
      </c>
      <c r="X431" s="81">
        <f t="shared" si="494"/>
        <v>0</v>
      </c>
    </row>
    <row r="432" spans="1:24">
      <c r="A432" s="2" t="s">
        <v>105</v>
      </c>
      <c r="B432" s="10" t="s">
        <v>63</v>
      </c>
      <c r="C432" s="10" t="s">
        <v>20</v>
      </c>
      <c r="D432" s="1" t="s">
        <v>49</v>
      </c>
      <c r="E432" s="1" t="s">
        <v>82</v>
      </c>
      <c r="F432" s="1" t="s">
        <v>70</v>
      </c>
      <c r="G432" s="1" t="s">
        <v>148</v>
      </c>
      <c r="H432" s="36" t="s">
        <v>432</v>
      </c>
      <c r="I432" s="73" t="s">
        <v>104</v>
      </c>
      <c r="J432" s="81"/>
      <c r="K432" s="81"/>
      <c r="L432" s="81"/>
      <c r="M432" s="81">
        <v>19800000</v>
      </c>
      <c r="N432" s="81"/>
      <c r="O432" s="81"/>
      <c r="P432" s="81">
        <f t="shared" si="500"/>
        <v>19800000</v>
      </c>
      <c r="Q432" s="81">
        <f t="shared" si="501"/>
        <v>0</v>
      </c>
      <c r="R432" s="81">
        <f t="shared" si="502"/>
        <v>0</v>
      </c>
      <c r="S432" s="81"/>
      <c r="T432" s="81"/>
      <c r="U432" s="81"/>
      <c r="V432" s="81">
        <f t="shared" si="492"/>
        <v>19800000</v>
      </c>
      <c r="W432" s="81">
        <f t="shared" si="493"/>
        <v>0</v>
      </c>
      <c r="X432" s="81">
        <f t="shared" si="494"/>
        <v>0</v>
      </c>
    </row>
    <row r="433" spans="1:24" ht="25.5">
      <c r="A433" s="89" t="s">
        <v>435</v>
      </c>
      <c r="B433" s="10" t="s">
        <v>63</v>
      </c>
      <c r="C433" s="10" t="s">
        <v>20</v>
      </c>
      <c r="D433" s="1" t="s">
        <v>49</v>
      </c>
      <c r="E433" s="1" t="s">
        <v>82</v>
      </c>
      <c r="F433" s="1" t="s">
        <v>70</v>
      </c>
      <c r="G433" s="1" t="s">
        <v>148</v>
      </c>
      <c r="H433" s="36" t="s">
        <v>433</v>
      </c>
      <c r="I433" s="73"/>
      <c r="J433" s="81">
        <f>J434</f>
        <v>0</v>
      </c>
      <c r="K433" s="81">
        <f t="shared" ref="K433:O434" si="504">K434</f>
        <v>0</v>
      </c>
      <c r="L433" s="81">
        <f t="shared" si="504"/>
        <v>0</v>
      </c>
      <c r="M433" s="81">
        <f t="shared" si="504"/>
        <v>9908815.5299999993</v>
      </c>
      <c r="N433" s="81">
        <f t="shared" si="504"/>
        <v>0</v>
      </c>
      <c r="O433" s="81">
        <f t="shared" si="504"/>
        <v>0</v>
      </c>
      <c r="P433" s="81">
        <f t="shared" si="500"/>
        <v>9908815.5299999993</v>
      </c>
      <c r="Q433" s="81">
        <f t="shared" si="501"/>
        <v>0</v>
      </c>
      <c r="R433" s="81">
        <f t="shared" si="502"/>
        <v>0</v>
      </c>
      <c r="S433" s="81">
        <f t="shared" ref="S433:U434" si="505">S434</f>
        <v>-0.89</v>
      </c>
      <c r="T433" s="81">
        <f t="shared" si="505"/>
        <v>0</v>
      </c>
      <c r="U433" s="81">
        <f t="shared" si="505"/>
        <v>0</v>
      </c>
      <c r="V433" s="81">
        <f t="shared" si="492"/>
        <v>9908814.6399999987</v>
      </c>
      <c r="W433" s="81">
        <f t="shared" si="493"/>
        <v>0</v>
      </c>
      <c r="X433" s="81">
        <f t="shared" si="494"/>
        <v>0</v>
      </c>
    </row>
    <row r="434" spans="1:24">
      <c r="A434" s="2" t="s">
        <v>80</v>
      </c>
      <c r="B434" s="10" t="s">
        <v>63</v>
      </c>
      <c r="C434" s="10" t="s">
        <v>20</v>
      </c>
      <c r="D434" s="1" t="s">
        <v>49</v>
      </c>
      <c r="E434" s="1" t="s">
        <v>82</v>
      </c>
      <c r="F434" s="1" t="s">
        <v>70</v>
      </c>
      <c r="G434" s="1" t="s">
        <v>148</v>
      </c>
      <c r="H434" s="36" t="s">
        <v>433</v>
      </c>
      <c r="I434" s="73" t="s">
        <v>77</v>
      </c>
      <c r="J434" s="81">
        <f>J435</f>
        <v>0</v>
      </c>
      <c r="K434" s="81">
        <f t="shared" si="504"/>
        <v>0</v>
      </c>
      <c r="L434" s="81">
        <f t="shared" si="504"/>
        <v>0</v>
      </c>
      <c r="M434" s="81">
        <f t="shared" si="504"/>
        <v>9908815.5299999993</v>
      </c>
      <c r="N434" s="81">
        <f t="shared" si="504"/>
        <v>0</v>
      </c>
      <c r="O434" s="81">
        <f t="shared" si="504"/>
        <v>0</v>
      </c>
      <c r="P434" s="81">
        <f t="shared" si="500"/>
        <v>9908815.5299999993</v>
      </c>
      <c r="Q434" s="81">
        <f t="shared" si="501"/>
        <v>0</v>
      </c>
      <c r="R434" s="81">
        <f t="shared" si="502"/>
        <v>0</v>
      </c>
      <c r="S434" s="81">
        <f t="shared" si="505"/>
        <v>-0.89</v>
      </c>
      <c r="T434" s="81">
        <f t="shared" si="505"/>
        <v>0</v>
      </c>
      <c r="U434" s="81">
        <f t="shared" si="505"/>
        <v>0</v>
      </c>
      <c r="V434" s="81">
        <f t="shared" si="492"/>
        <v>9908814.6399999987</v>
      </c>
      <c r="W434" s="81">
        <f t="shared" si="493"/>
        <v>0</v>
      </c>
      <c r="X434" s="81">
        <f t="shared" si="494"/>
        <v>0</v>
      </c>
    </row>
    <row r="435" spans="1:24">
      <c r="A435" s="2" t="s">
        <v>105</v>
      </c>
      <c r="B435" s="10" t="s">
        <v>63</v>
      </c>
      <c r="C435" s="10" t="s">
        <v>20</v>
      </c>
      <c r="D435" s="1" t="s">
        <v>49</v>
      </c>
      <c r="E435" s="1" t="s">
        <v>82</v>
      </c>
      <c r="F435" s="1" t="s">
        <v>70</v>
      </c>
      <c r="G435" s="1" t="s">
        <v>148</v>
      </c>
      <c r="H435" s="36" t="s">
        <v>433</v>
      </c>
      <c r="I435" s="73" t="s">
        <v>104</v>
      </c>
      <c r="J435" s="81"/>
      <c r="K435" s="81"/>
      <c r="L435" s="81"/>
      <c r="M435" s="81">
        <f>10023815.53-115000</f>
        <v>9908815.5299999993</v>
      </c>
      <c r="N435" s="81"/>
      <c r="O435" s="81"/>
      <c r="P435" s="81">
        <f t="shared" si="500"/>
        <v>9908815.5299999993</v>
      </c>
      <c r="Q435" s="81">
        <f t="shared" si="501"/>
        <v>0</v>
      </c>
      <c r="R435" s="81">
        <f t="shared" si="502"/>
        <v>0</v>
      </c>
      <c r="S435" s="81">
        <v>-0.89</v>
      </c>
      <c r="T435" s="81"/>
      <c r="U435" s="81"/>
      <c r="V435" s="81">
        <f t="shared" si="492"/>
        <v>9908814.6399999987</v>
      </c>
      <c r="W435" s="81">
        <f t="shared" si="493"/>
        <v>0</v>
      </c>
      <c r="X435" s="81">
        <f t="shared" si="494"/>
        <v>0</v>
      </c>
    </row>
    <row r="436" spans="1:24" ht="12.75" customHeight="1">
      <c r="A436" s="89"/>
      <c r="B436" s="35"/>
      <c r="C436" s="10"/>
      <c r="D436" s="1"/>
      <c r="E436" s="35"/>
      <c r="F436" s="35"/>
      <c r="G436" s="35"/>
      <c r="H436" s="36"/>
      <c r="I436" s="36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</row>
    <row r="437" spans="1:24" ht="25.5">
      <c r="A437" s="169" t="s">
        <v>409</v>
      </c>
      <c r="B437" s="46" t="s">
        <v>402</v>
      </c>
      <c r="C437" s="42"/>
      <c r="D437" s="42"/>
      <c r="E437" s="183"/>
      <c r="F437" s="90"/>
      <c r="G437" s="90"/>
      <c r="H437" s="90"/>
      <c r="I437" s="118"/>
      <c r="J437" s="106">
        <f t="shared" ref="J437:O437" si="506">J438+J528+J564+J647+J739+J763+J775+J822+J519+J752</f>
        <v>328066485.47999996</v>
      </c>
      <c r="K437" s="106">
        <f t="shared" si="506"/>
        <v>253793828.87000003</v>
      </c>
      <c r="L437" s="106">
        <f t="shared" si="506"/>
        <v>252725824.44999996</v>
      </c>
      <c r="M437" s="106">
        <f t="shared" si="506"/>
        <v>66998264.390000001</v>
      </c>
      <c r="N437" s="106">
        <f t="shared" si="506"/>
        <v>2224696.8899999997</v>
      </c>
      <c r="O437" s="106">
        <f t="shared" si="506"/>
        <v>-387860.32</v>
      </c>
      <c r="P437" s="106">
        <f>P438+P519+P528+P564+P647+P739+P752+P763+P775+P822</f>
        <v>395064749.87</v>
      </c>
      <c r="Q437" s="106">
        <f>Q438+Q519+Q528+Q564+Q647+Q739+Q752+Q763+Q775+Q822</f>
        <v>256018525.75999999</v>
      </c>
      <c r="R437" s="106">
        <f>R438+R519+R528+R564+R647+R739+R752+R763+R775+R822</f>
        <v>252337964.13</v>
      </c>
      <c r="S437" s="106">
        <f>S438+S528+S564+S647+S739+S763+S775+S822+S519+S752</f>
        <v>101127485.07000001</v>
      </c>
      <c r="T437" s="106">
        <f>T438+T528+T564+T647+T739+T763+T775+T822+T519+T752</f>
        <v>0</v>
      </c>
      <c r="U437" s="106">
        <f>U438+U528+U564+U647+U739+U763+U775+U822+U519+U752</f>
        <v>0</v>
      </c>
      <c r="V437" s="106">
        <f t="shared" ref="V437:X452" si="507">P437+S437</f>
        <v>496192234.94</v>
      </c>
      <c r="W437" s="106">
        <f t="shared" si="507"/>
        <v>256018525.75999999</v>
      </c>
      <c r="X437" s="106">
        <f t="shared" si="507"/>
        <v>252337964.13</v>
      </c>
    </row>
    <row r="438" spans="1:24" ht="15.75">
      <c r="A438" s="187" t="s">
        <v>32</v>
      </c>
      <c r="B438" s="25" t="s">
        <v>402</v>
      </c>
      <c r="C438" s="25" t="s">
        <v>20</v>
      </c>
      <c r="D438" s="1"/>
      <c r="E438" s="1"/>
      <c r="F438" s="1"/>
      <c r="G438" s="1"/>
      <c r="H438" s="1"/>
      <c r="I438" s="1"/>
      <c r="J438" s="100">
        <f t="shared" ref="J438:U438" si="508">J439+J445+J477+J483</f>
        <v>180738704.69999999</v>
      </c>
      <c r="K438" s="100">
        <f t="shared" si="508"/>
        <v>174496434.71000001</v>
      </c>
      <c r="L438" s="100">
        <f t="shared" si="508"/>
        <v>173562200.53999996</v>
      </c>
      <c r="M438" s="100">
        <f t="shared" si="508"/>
        <v>148621.92000000001</v>
      </c>
      <c r="N438" s="100">
        <f t="shared" si="508"/>
        <v>-125879.68999999999</v>
      </c>
      <c r="O438" s="100">
        <f t="shared" si="508"/>
        <v>-519751.03</v>
      </c>
      <c r="P438" s="100">
        <f>P439+P445+P477+P483</f>
        <v>180887326.62</v>
      </c>
      <c r="Q438" s="100">
        <f t="shared" si="508"/>
        <v>174370555.01999998</v>
      </c>
      <c r="R438" s="100">
        <f t="shared" si="508"/>
        <v>173042449.50999999</v>
      </c>
      <c r="S438" s="100">
        <f t="shared" si="508"/>
        <v>1363573.7599999998</v>
      </c>
      <c r="T438" s="100">
        <f t="shared" si="508"/>
        <v>0</v>
      </c>
      <c r="U438" s="100">
        <f t="shared" si="508"/>
        <v>0</v>
      </c>
      <c r="V438" s="100">
        <f t="shared" si="507"/>
        <v>182250900.38</v>
      </c>
      <c r="W438" s="100">
        <f t="shared" si="507"/>
        <v>174370555.01999998</v>
      </c>
      <c r="X438" s="100">
        <f t="shared" si="507"/>
        <v>173042449.50999999</v>
      </c>
    </row>
    <row r="439" spans="1:24" ht="25.5">
      <c r="A439" s="23" t="s">
        <v>45</v>
      </c>
      <c r="B439" s="14" t="s">
        <v>402</v>
      </c>
      <c r="C439" s="14" t="s">
        <v>20</v>
      </c>
      <c r="D439" s="15" t="s">
        <v>17</v>
      </c>
      <c r="E439" s="15"/>
      <c r="F439" s="15"/>
      <c r="G439" s="15"/>
      <c r="H439" s="15"/>
      <c r="I439" s="26"/>
      <c r="J439" s="101">
        <f t="shared" ref="J439:O442" si="509">J440</f>
        <v>3920905</v>
      </c>
      <c r="K439" s="101">
        <f t="shared" si="509"/>
        <v>3960114.35</v>
      </c>
      <c r="L439" s="101">
        <f t="shared" si="509"/>
        <v>3999715.49</v>
      </c>
      <c r="M439" s="101">
        <f t="shared" si="509"/>
        <v>0</v>
      </c>
      <c r="N439" s="101">
        <f t="shared" si="509"/>
        <v>0</v>
      </c>
      <c r="O439" s="101">
        <f t="shared" si="509"/>
        <v>0</v>
      </c>
      <c r="P439" s="101">
        <f>P440</f>
        <v>3920905</v>
      </c>
      <c r="Q439" s="101">
        <f t="shared" ref="Q439:U442" si="510">Q440</f>
        <v>3960114.35</v>
      </c>
      <c r="R439" s="101">
        <f t="shared" si="510"/>
        <v>3999715.49</v>
      </c>
      <c r="S439" s="101">
        <f t="shared" si="510"/>
        <v>0</v>
      </c>
      <c r="T439" s="101">
        <f t="shared" si="510"/>
        <v>0</v>
      </c>
      <c r="U439" s="101">
        <f t="shared" si="510"/>
        <v>0</v>
      </c>
      <c r="V439" s="101">
        <f t="shared" si="507"/>
        <v>3920905</v>
      </c>
      <c r="W439" s="101">
        <f t="shared" si="507"/>
        <v>3960114.35</v>
      </c>
      <c r="X439" s="101">
        <f t="shared" si="507"/>
        <v>3999715.49</v>
      </c>
    </row>
    <row r="440" spans="1:24">
      <c r="A440" s="9" t="s">
        <v>83</v>
      </c>
      <c r="B440" s="59" t="s">
        <v>402</v>
      </c>
      <c r="C440" s="59" t="s">
        <v>20</v>
      </c>
      <c r="D440" s="59" t="s">
        <v>17</v>
      </c>
      <c r="E440" s="59" t="s">
        <v>82</v>
      </c>
      <c r="F440" s="59" t="s">
        <v>70</v>
      </c>
      <c r="G440" s="1" t="s">
        <v>148</v>
      </c>
      <c r="H440" s="1" t="s">
        <v>149</v>
      </c>
      <c r="I440" s="13"/>
      <c r="J440" s="81">
        <f t="shared" si="509"/>
        <v>3920905</v>
      </c>
      <c r="K440" s="81">
        <f t="shared" si="509"/>
        <v>3960114.35</v>
      </c>
      <c r="L440" s="81">
        <f t="shared" si="509"/>
        <v>3999715.49</v>
      </c>
      <c r="M440" s="81">
        <f t="shared" si="509"/>
        <v>0</v>
      </c>
      <c r="N440" s="81">
        <f t="shared" si="509"/>
        <v>0</v>
      </c>
      <c r="O440" s="81">
        <f t="shared" si="509"/>
        <v>0</v>
      </c>
      <c r="P440" s="81">
        <f>P441</f>
        <v>3920905</v>
      </c>
      <c r="Q440" s="81">
        <f t="shared" si="510"/>
        <v>3960114.35</v>
      </c>
      <c r="R440" s="81">
        <f t="shared" si="510"/>
        <v>3999715.49</v>
      </c>
      <c r="S440" s="81">
        <f t="shared" si="510"/>
        <v>0</v>
      </c>
      <c r="T440" s="81">
        <f t="shared" si="510"/>
        <v>0</v>
      </c>
      <c r="U440" s="81">
        <f t="shared" si="510"/>
        <v>0</v>
      </c>
      <c r="V440" s="81">
        <f t="shared" si="507"/>
        <v>3920905</v>
      </c>
      <c r="W440" s="81">
        <f t="shared" si="507"/>
        <v>3960114.35</v>
      </c>
      <c r="X440" s="81">
        <f t="shared" si="507"/>
        <v>3999715.49</v>
      </c>
    </row>
    <row r="441" spans="1:24">
      <c r="A441" s="9" t="s">
        <v>330</v>
      </c>
      <c r="B441" s="59" t="s">
        <v>402</v>
      </c>
      <c r="C441" s="59" t="s">
        <v>20</v>
      </c>
      <c r="D441" s="59" t="s">
        <v>17</v>
      </c>
      <c r="E441" s="59" t="s">
        <v>82</v>
      </c>
      <c r="F441" s="59" t="s">
        <v>70</v>
      </c>
      <c r="G441" s="1" t="s">
        <v>148</v>
      </c>
      <c r="H441" s="1" t="s">
        <v>210</v>
      </c>
      <c r="I441" s="13"/>
      <c r="J441" s="81">
        <f t="shared" si="509"/>
        <v>3920905</v>
      </c>
      <c r="K441" s="81">
        <f t="shared" si="509"/>
        <v>3960114.35</v>
      </c>
      <c r="L441" s="81">
        <f t="shared" si="509"/>
        <v>3999715.49</v>
      </c>
      <c r="M441" s="81">
        <f t="shared" si="509"/>
        <v>0</v>
      </c>
      <c r="N441" s="81">
        <f t="shared" si="509"/>
        <v>0</v>
      </c>
      <c r="O441" s="81">
        <f t="shared" si="509"/>
        <v>0</v>
      </c>
      <c r="P441" s="81">
        <f>P442</f>
        <v>3920905</v>
      </c>
      <c r="Q441" s="81">
        <f t="shared" si="510"/>
        <v>3960114.35</v>
      </c>
      <c r="R441" s="81">
        <f t="shared" si="510"/>
        <v>3999715.49</v>
      </c>
      <c r="S441" s="81">
        <f t="shared" si="510"/>
        <v>0</v>
      </c>
      <c r="T441" s="81">
        <f t="shared" si="510"/>
        <v>0</v>
      </c>
      <c r="U441" s="81">
        <f t="shared" si="510"/>
        <v>0</v>
      </c>
      <c r="V441" s="81">
        <f t="shared" si="507"/>
        <v>3920905</v>
      </c>
      <c r="W441" s="81">
        <f t="shared" si="507"/>
        <v>3960114.35</v>
      </c>
      <c r="X441" s="81">
        <f t="shared" si="507"/>
        <v>3999715.49</v>
      </c>
    </row>
    <row r="442" spans="1:24" ht="38.25">
      <c r="A442" s="188" t="s">
        <v>96</v>
      </c>
      <c r="B442" s="59" t="s">
        <v>402</v>
      </c>
      <c r="C442" s="59" t="s">
        <v>20</v>
      </c>
      <c r="D442" s="59" t="s">
        <v>17</v>
      </c>
      <c r="E442" s="59" t="s">
        <v>82</v>
      </c>
      <c r="F442" s="59" t="s">
        <v>70</v>
      </c>
      <c r="G442" s="1" t="s">
        <v>148</v>
      </c>
      <c r="H442" s="1" t="s">
        <v>210</v>
      </c>
      <c r="I442" s="13" t="s">
        <v>92</v>
      </c>
      <c r="J442" s="81">
        <f t="shared" si="509"/>
        <v>3920905</v>
      </c>
      <c r="K442" s="81">
        <f t="shared" si="509"/>
        <v>3960114.35</v>
      </c>
      <c r="L442" s="81">
        <f t="shared" si="509"/>
        <v>3999715.49</v>
      </c>
      <c r="M442" s="81">
        <f t="shared" si="509"/>
        <v>0</v>
      </c>
      <c r="N442" s="81">
        <f t="shared" si="509"/>
        <v>0</v>
      </c>
      <c r="O442" s="81">
        <f t="shared" si="509"/>
        <v>0</v>
      </c>
      <c r="P442" s="81">
        <f t="shared" ref="P442:R448" si="511">J442+M442</f>
        <v>3920905</v>
      </c>
      <c r="Q442" s="81">
        <f t="shared" si="511"/>
        <v>3960114.35</v>
      </c>
      <c r="R442" s="81">
        <f t="shared" si="511"/>
        <v>3999715.49</v>
      </c>
      <c r="S442" s="81">
        <f t="shared" si="510"/>
        <v>0</v>
      </c>
      <c r="T442" s="81">
        <f t="shared" si="510"/>
        <v>0</v>
      </c>
      <c r="U442" s="81">
        <f t="shared" si="510"/>
        <v>0</v>
      </c>
      <c r="V442" s="81">
        <f t="shared" si="507"/>
        <v>3920905</v>
      </c>
      <c r="W442" s="81">
        <f t="shared" si="507"/>
        <v>3960114.35</v>
      </c>
      <c r="X442" s="81">
        <f t="shared" si="507"/>
        <v>3999715.49</v>
      </c>
    </row>
    <row r="443" spans="1:24">
      <c r="A443" s="188" t="s">
        <v>103</v>
      </c>
      <c r="B443" s="59" t="s">
        <v>402</v>
      </c>
      <c r="C443" s="59" t="s">
        <v>20</v>
      </c>
      <c r="D443" s="59" t="s">
        <v>17</v>
      </c>
      <c r="E443" s="59" t="s">
        <v>82</v>
      </c>
      <c r="F443" s="59" t="s">
        <v>70</v>
      </c>
      <c r="G443" s="1" t="s">
        <v>148</v>
      </c>
      <c r="H443" s="1" t="s">
        <v>210</v>
      </c>
      <c r="I443" s="13" t="s">
        <v>102</v>
      </c>
      <c r="J443" s="81">
        <v>3920905</v>
      </c>
      <c r="K443" s="81">
        <v>3960114.35</v>
      </c>
      <c r="L443" s="81">
        <v>3999715.49</v>
      </c>
      <c r="M443" s="81"/>
      <c r="N443" s="81"/>
      <c r="O443" s="81"/>
      <c r="P443" s="81">
        <f>P836</f>
        <v>3920905</v>
      </c>
      <c r="Q443" s="81">
        <f t="shared" ref="Q443:U443" si="512">Q836</f>
        <v>3960114.35</v>
      </c>
      <c r="R443" s="81">
        <f t="shared" si="512"/>
        <v>3999715.49</v>
      </c>
      <c r="S443" s="81">
        <f t="shared" si="512"/>
        <v>0</v>
      </c>
      <c r="T443" s="81">
        <f t="shared" si="512"/>
        <v>0</v>
      </c>
      <c r="U443" s="81">
        <f t="shared" si="512"/>
        <v>0</v>
      </c>
      <c r="V443" s="81">
        <f t="shared" si="507"/>
        <v>3920905</v>
      </c>
      <c r="W443" s="81">
        <f t="shared" si="507"/>
        <v>3960114.35</v>
      </c>
      <c r="X443" s="81">
        <f t="shared" si="507"/>
        <v>3999715.49</v>
      </c>
    </row>
    <row r="444" spans="1:24">
      <c r="A444" s="188"/>
      <c r="B444" s="59"/>
      <c r="C444" s="59"/>
      <c r="D444" s="59"/>
      <c r="E444" s="59"/>
      <c r="F444" s="59"/>
      <c r="G444" s="1"/>
      <c r="H444" s="1"/>
      <c r="I444" s="13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</row>
    <row r="445" spans="1:24" ht="38.25">
      <c r="A445" s="23" t="s">
        <v>0</v>
      </c>
      <c r="B445" s="14" t="s">
        <v>402</v>
      </c>
      <c r="C445" s="14" t="s">
        <v>20</v>
      </c>
      <c r="D445" s="14" t="s">
        <v>16</v>
      </c>
      <c r="E445" s="14"/>
      <c r="F445" s="14"/>
      <c r="G445" s="14"/>
      <c r="H445" s="1"/>
      <c r="I445" s="13"/>
      <c r="J445" s="101">
        <f>J446+J450</f>
        <v>111104872.36999999</v>
      </c>
      <c r="K445" s="101">
        <f t="shared" ref="K445:O445" si="513">K446+K450</f>
        <v>112545617.75</v>
      </c>
      <c r="L445" s="101">
        <f t="shared" si="513"/>
        <v>112915487.33999999</v>
      </c>
      <c r="M445" s="101">
        <f t="shared" si="513"/>
        <v>35011.340000000004</v>
      </c>
      <c r="N445" s="101">
        <f t="shared" si="513"/>
        <v>-124756.98999999999</v>
      </c>
      <c r="O445" s="101">
        <f t="shared" si="513"/>
        <v>-518547.05000000005</v>
      </c>
      <c r="P445" s="101">
        <f>P446+P450</f>
        <v>111139883.71000001</v>
      </c>
      <c r="Q445" s="101">
        <f t="shared" ref="Q445:U445" si="514">Q446+Q450</f>
        <v>112420860.75999999</v>
      </c>
      <c r="R445" s="101">
        <f t="shared" si="514"/>
        <v>112396940.29000001</v>
      </c>
      <c r="S445" s="101">
        <f t="shared" si="514"/>
        <v>47500</v>
      </c>
      <c r="T445" s="101">
        <f t="shared" si="514"/>
        <v>0</v>
      </c>
      <c r="U445" s="101">
        <f t="shared" si="514"/>
        <v>0</v>
      </c>
      <c r="V445" s="101">
        <f t="shared" si="507"/>
        <v>111187383.71000001</v>
      </c>
      <c r="W445" s="101">
        <f t="shared" si="507"/>
        <v>112420860.75999999</v>
      </c>
      <c r="X445" s="101">
        <f t="shared" si="507"/>
        <v>112396940.29000001</v>
      </c>
    </row>
    <row r="446" spans="1:24" ht="38.25">
      <c r="A446" s="9" t="s">
        <v>288</v>
      </c>
      <c r="B446" s="1" t="s">
        <v>402</v>
      </c>
      <c r="C446" s="1" t="s">
        <v>20</v>
      </c>
      <c r="D446" s="1" t="s">
        <v>16</v>
      </c>
      <c r="E446" s="1" t="s">
        <v>13</v>
      </c>
      <c r="F446" s="1" t="s">
        <v>70</v>
      </c>
      <c r="G446" s="1" t="s">
        <v>148</v>
      </c>
      <c r="H446" s="1" t="s">
        <v>149</v>
      </c>
      <c r="I446" s="13"/>
      <c r="J446" s="81">
        <f t="shared" ref="J446:O448" si="515">J447</f>
        <v>35000</v>
      </c>
      <c r="K446" s="81">
        <f t="shared" si="515"/>
        <v>35000</v>
      </c>
      <c r="L446" s="81">
        <f t="shared" si="515"/>
        <v>35000</v>
      </c>
      <c r="M446" s="81">
        <f t="shared" si="515"/>
        <v>0</v>
      </c>
      <c r="N446" s="81">
        <f t="shared" si="515"/>
        <v>0</v>
      </c>
      <c r="O446" s="81">
        <f t="shared" si="515"/>
        <v>0</v>
      </c>
      <c r="P446" s="81">
        <f>P447</f>
        <v>35000</v>
      </c>
      <c r="Q446" s="81">
        <f t="shared" ref="Q446:U448" si="516">Q447</f>
        <v>35000</v>
      </c>
      <c r="R446" s="81">
        <f t="shared" si="516"/>
        <v>35000</v>
      </c>
      <c r="S446" s="81">
        <f t="shared" si="516"/>
        <v>0</v>
      </c>
      <c r="T446" s="81">
        <f t="shared" si="516"/>
        <v>0</v>
      </c>
      <c r="U446" s="81">
        <f t="shared" si="516"/>
        <v>0</v>
      </c>
      <c r="V446" s="81">
        <f t="shared" si="507"/>
        <v>35000</v>
      </c>
      <c r="W446" s="81">
        <f t="shared" si="507"/>
        <v>35000</v>
      </c>
      <c r="X446" s="81">
        <f t="shared" si="507"/>
        <v>35000</v>
      </c>
    </row>
    <row r="447" spans="1:24" ht="31.5" customHeight="1">
      <c r="A447" s="9" t="s">
        <v>62</v>
      </c>
      <c r="B447" s="1" t="s">
        <v>402</v>
      </c>
      <c r="C447" s="1" t="s">
        <v>20</v>
      </c>
      <c r="D447" s="1" t="s">
        <v>16</v>
      </c>
      <c r="E447" s="1" t="s">
        <v>13</v>
      </c>
      <c r="F447" s="1" t="s">
        <v>70</v>
      </c>
      <c r="G447" s="1" t="s">
        <v>148</v>
      </c>
      <c r="H447" s="1" t="s">
        <v>173</v>
      </c>
      <c r="I447" s="13"/>
      <c r="J447" s="81">
        <f t="shared" si="515"/>
        <v>35000</v>
      </c>
      <c r="K447" s="81">
        <f t="shared" si="515"/>
        <v>35000</v>
      </c>
      <c r="L447" s="81">
        <f t="shared" si="515"/>
        <v>35000</v>
      </c>
      <c r="M447" s="81">
        <f t="shared" si="515"/>
        <v>0</v>
      </c>
      <c r="N447" s="81">
        <f t="shared" si="515"/>
        <v>0</v>
      </c>
      <c r="O447" s="81">
        <f t="shared" si="515"/>
        <v>0</v>
      </c>
      <c r="P447" s="81">
        <f>P448</f>
        <v>35000</v>
      </c>
      <c r="Q447" s="81">
        <f t="shared" si="516"/>
        <v>35000</v>
      </c>
      <c r="R447" s="81">
        <f t="shared" si="516"/>
        <v>35000</v>
      </c>
      <c r="S447" s="81">
        <f t="shared" si="516"/>
        <v>0</v>
      </c>
      <c r="T447" s="81">
        <f t="shared" si="516"/>
        <v>0</v>
      </c>
      <c r="U447" s="81">
        <f t="shared" si="516"/>
        <v>0</v>
      </c>
      <c r="V447" s="81">
        <f t="shared" si="507"/>
        <v>35000</v>
      </c>
      <c r="W447" s="81">
        <f t="shared" si="507"/>
        <v>35000</v>
      </c>
      <c r="X447" s="81">
        <f t="shared" si="507"/>
        <v>35000</v>
      </c>
    </row>
    <row r="448" spans="1:24" ht="25.5">
      <c r="A448" s="189" t="s">
        <v>260</v>
      </c>
      <c r="B448" s="1" t="s">
        <v>402</v>
      </c>
      <c r="C448" s="1" t="s">
        <v>20</v>
      </c>
      <c r="D448" s="1" t="s">
        <v>16</v>
      </c>
      <c r="E448" s="1" t="s">
        <v>13</v>
      </c>
      <c r="F448" s="1" t="s">
        <v>70</v>
      </c>
      <c r="G448" s="1" t="s">
        <v>148</v>
      </c>
      <c r="H448" s="1" t="s">
        <v>173</v>
      </c>
      <c r="I448" s="13" t="s">
        <v>94</v>
      </c>
      <c r="J448" s="81">
        <f t="shared" si="515"/>
        <v>35000</v>
      </c>
      <c r="K448" s="81">
        <f t="shared" si="515"/>
        <v>35000</v>
      </c>
      <c r="L448" s="81">
        <f t="shared" si="515"/>
        <v>35000</v>
      </c>
      <c r="M448" s="81">
        <f t="shared" si="515"/>
        <v>0</v>
      </c>
      <c r="N448" s="81">
        <f t="shared" si="515"/>
        <v>0</v>
      </c>
      <c r="O448" s="81">
        <f t="shared" si="515"/>
        <v>0</v>
      </c>
      <c r="P448" s="81">
        <f t="shared" si="511"/>
        <v>35000</v>
      </c>
      <c r="Q448" s="81">
        <f t="shared" si="511"/>
        <v>35000</v>
      </c>
      <c r="R448" s="81">
        <f t="shared" si="511"/>
        <v>35000</v>
      </c>
      <c r="S448" s="81">
        <f t="shared" si="516"/>
        <v>0</v>
      </c>
      <c r="T448" s="81">
        <f t="shared" si="516"/>
        <v>0</v>
      </c>
      <c r="U448" s="81">
        <f t="shared" si="516"/>
        <v>0</v>
      </c>
      <c r="V448" s="81">
        <f t="shared" si="507"/>
        <v>35000</v>
      </c>
      <c r="W448" s="81">
        <f t="shared" si="507"/>
        <v>35000</v>
      </c>
      <c r="X448" s="81">
        <f t="shared" si="507"/>
        <v>35000</v>
      </c>
    </row>
    <row r="449" spans="1:24" ht="25.5">
      <c r="A449" s="188" t="s">
        <v>98</v>
      </c>
      <c r="B449" s="1" t="s">
        <v>402</v>
      </c>
      <c r="C449" s="1" t="s">
        <v>20</v>
      </c>
      <c r="D449" s="1" t="s">
        <v>16</v>
      </c>
      <c r="E449" s="1" t="s">
        <v>13</v>
      </c>
      <c r="F449" s="1" t="s">
        <v>70</v>
      </c>
      <c r="G449" s="1" t="s">
        <v>148</v>
      </c>
      <c r="H449" s="1" t="s">
        <v>173</v>
      </c>
      <c r="I449" s="13" t="s">
        <v>95</v>
      </c>
      <c r="J449" s="81">
        <v>35000</v>
      </c>
      <c r="K449" s="81">
        <v>35000</v>
      </c>
      <c r="L449" s="81">
        <v>35000</v>
      </c>
      <c r="M449" s="81"/>
      <c r="N449" s="81"/>
      <c r="O449" s="81"/>
      <c r="P449" s="81">
        <f>P841</f>
        <v>35000</v>
      </c>
      <c r="Q449" s="81">
        <f t="shared" ref="Q449:U449" si="517">Q841</f>
        <v>35000</v>
      </c>
      <c r="R449" s="81">
        <f t="shared" si="517"/>
        <v>35000</v>
      </c>
      <c r="S449" s="81">
        <f t="shared" si="517"/>
        <v>0</v>
      </c>
      <c r="T449" s="81">
        <f t="shared" si="517"/>
        <v>0</v>
      </c>
      <c r="U449" s="81">
        <f t="shared" si="517"/>
        <v>0</v>
      </c>
      <c r="V449" s="81">
        <f t="shared" si="507"/>
        <v>35000</v>
      </c>
      <c r="W449" s="81">
        <f t="shared" si="507"/>
        <v>35000</v>
      </c>
      <c r="X449" s="81">
        <f t="shared" si="507"/>
        <v>35000</v>
      </c>
    </row>
    <row r="450" spans="1:24">
      <c r="A450" s="9" t="s">
        <v>83</v>
      </c>
      <c r="B450" s="1" t="s">
        <v>402</v>
      </c>
      <c r="C450" s="1" t="s">
        <v>20</v>
      </c>
      <c r="D450" s="1" t="s">
        <v>16</v>
      </c>
      <c r="E450" s="1" t="s">
        <v>82</v>
      </c>
      <c r="F450" s="1" t="s">
        <v>70</v>
      </c>
      <c r="G450" s="1" t="s">
        <v>148</v>
      </c>
      <c r="H450" s="1" t="s">
        <v>149</v>
      </c>
      <c r="I450" s="13"/>
      <c r="J450" s="81">
        <f>J451+J458+J466+J471+J461</f>
        <v>111069872.36999999</v>
      </c>
      <c r="K450" s="81">
        <f>K451+K458+K466+K471+K461</f>
        <v>112510617.75</v>
      </c>
      <c r="L450" s="81">
        <f>L451+L458+L466+L471+L461</f>
        <v>112880487.33999999</v>
      </c>
      <c r="M450" s="81">
        <f t="shared" ref="M450:O450" si="518">M451+M458+M466+M471+M461</f>
        <v>35011.340000000004</v>
      </c>
      <c r="N450" s="81">
        <f t="shared" si="518"/>
        <v>-124756.98999999999</v>
      </c>
      <c r="O450" s="81">
        <f t="shared" si="518"/>
        <v>-518547.05000000005</v>
      </c>
      <c r="P450" s="81">
        <f>P451+P458+P461+P466+P471</f>
        <v>111104883.71000001</v>
      </c>
      <c r="Q450" s="81">
        <f t="shared" ref="Q450:R450" si="519">Q451+Q458+Q461+Q466+Q471</f>
        <v>112385860.75999999</v>
      </c>
      <c r="R450" s="81">
        <f t="shared" si="519"/>
        <v>112361940.29000001</v>
      </c>
      <c r="S450" s="81">
        <f t="shared" ref="S450:U450" si="520">S451+S458+S466+S471+S461</f>
        <v>47500</v>
      </c>
      <c r="T450" s="81">
        <f t="shared" si="520"/>
        <v>0</v>
      </c>
      <c r="U450" s="81">
        <f t="shared" si="520"/>
        <v>0</v>
      </c>
      <c r="V450" s="81">
        <f t="shared" si="507"/>
        <v>111152383.71000001</v>
      </c>
      <c r="W450" s="81">
        <f t="shared" si="507"/>
        <v>112385860.75999999</v>
      </c>
      <c r="X450" s="81">
        <f t="shared" si="507"/>
        <v>112361940.29000001</v>
      </c>
    </row>
    <row r="451" spans="1:24" ht="25.5">
      <c r="A451" s="9" t="s">
        <v>87</v>
      </c>
      <c r="B451" s="1" t="s">
        <v>402</v>
      </c>
      <c r="C451" s="1" t="s">
        <v>20</v>
      </c>
      <c r="D451" s="1" t="s">
        <v>16</v>
      </c>
      <c r="E451" s="1" t="s">
        <v>82</v>
      </c>
      <c r="F451" s="1" t="s">
        <v>70</v>
      </c>
      <c r="G451" s="1" t="s">
        <v>148</v>
      </c>
      <c r="H451" s="1" t="s">
        <v>158</v>
      </c>
      <c r="I451" s="13"/>
      <c r="J451" s="81">
        <f>J452+J454+J456</f>
        <v>106849208</v>
      </c>
      <c r="K451" s="81">
        <f t="shared" ref="K451:O451" si="521">K452+K454+K456</f>
        <v>107949688.8</v>
      </c>
      <c r="L451" s="81">
        <f t="shared" si="521"/>
        <v>107777641.72</v>
      </c>
      <c r="M451" s="81">
        <f t="shared" si="521"/>
        <v>0</v>
      </c>
      <c r="N451" s="81">
        <f t="shared" si="521"/>
        <v>0</v>
      </c>
      <c r="O451" s="81">
        <f t="shared" si="521"/>
        <v>0</v>
      </c>
      <c r="P451" s="81">
        <f>P452+P454+P456</f>
        <v>106849208</v>
      </c>
      <c r="Q451" s="81">
        <f t="shared" ref="Q451:U451" si="522">Q452+Q454+Q456</f>
        <v>107949688.8</v>
      </c>
      <c r="R451" s="81">
        <f t="shared" si="522"/>
        <v>107777641.72</v>
      </c>
      <c r="S451" s="81">
        <f t="shared" si="522"/>
        <v>47500</v>
      </c>
      <c r="T451" s="81">
        <f t="shared" si="522"/>
        <v>0</v>
      </c>
      <c r="U451" s="81">
        <f t="shared" si="522"/>
        <v>0</v>
      </c>
      <c r="V451" s="81">
        <f t="shared" si="507"/>
        <v>106896708</v>
      </c>
      <c r="W451" s="81">
        <f t="shared" si="507"/>
        <v>107949688.8</v>
      </c>
      <c r="X451" s="81">
        <f t="shared" si="507"/>
        <v>107777641.72</v>
      </c>
    </row>
    <row r="452" spans="1:24" ht="38.25">
      <c r="A452" s="188" t="s">
        <v>96</v>
      </c>
      <c r="B452" s="1" t="s">
        <v>402</v>
      </c>
      <c r="C452" s="1" t="s">
        <v>20</v>
      </c>
      <c r="D452" s="1" t="s">
        <v>16</v>
      </c>
      <c r="E452" s="1" t="s">
        <v>82</v>
      </c>
      <c r="F452" s="1" t="s">
        <v>70</v>
      </c>
      <c r="G452" s="1" t="s">
        <v>148</v>
      </c>
      <c r="H452" s="1" t="s">
        <v>158</v>
      </c>
      <c r="I452" s="13" t="s">
        <v>92</v>
      </c>
      <c r="J452" s="81">
        <f>J453</f>
        <v>98207344</v>
      </c>
      <c r="K452" s="81">
        <f t="shared" ref="K452:O452" si="523">K453</f>
        <v>99168818.319999993</v>
      </c>
      <c r="L452" s="81">
        <f t="shared" si="523"/>
        <v>99559906.5</v>
      </c>
      <c r="M452" s="81">
        <f t="shared" si="523"/>
        <v>0</v>
      </c>
      <c r="N452" s="81">
        <f t="shared" si="523"/>
        <v>0</v>
      </c>
      <c r="O452" s="81">
        <f t="shared" si="523"/>
        <v>0</v>
      </c>
      <c r="P452" s="81">
        <f>P453</f>
        <v>98207344</v>
      </c>
      <c r="Q452" s="81">
        <f t="shared" ref="Q452:U452" si="524">Q453</f>
        <v>99168818.319999993</v>
      </c>
      <c r="R452" s="81">
        <f t="shared" si="524"/>
        <v>99559906.5</v>
      </c>
      <c r="S452" s="81">
        <f t="shared" si="524"/>
        <v>-100000</v>
      </c>
      <c r="T452" s="81">
        <f t="shared" si="524"/>
        <v>0</v>
      </c>
      <c r="U452" s="81">
        <f t="shared" si="524"/>
        <v>0</v>
      </c>
      <c r="V452" s="81">
        <f t="shared" si="507"/>
        <v>98107344</v>
      </c>
      <c r="W452" s="81">
        <f t="shared" si="507"/>
        <v>99168818.319999993</v>
      </c>
      <c r="X452" s="81">
        <f t="shared" si="507"/>
        <v>99559906.5</v>
      </c>
    </row>
    <row r="453" spans="1:24">
      <c r="A453" s="188" t="s">
        <v>103</v>
      </c>
      <c r="B453" s="1" t="s">
        <v>402</v>
      </c>
      <c r="C453" s="1" t="s">
        <v>20</v>
      </c>
      <c r="D453" s="1" t="s">
        <v>16</v>
      </c>
      <c r="E453" s="1" t="s">
        <v>82</v>
      </c>
      <c r="F453" s="1" t="s">
        <v>70</v>
      </c>
      <c r="G453" s="1" t="s">
        <v>148</v>
      </c>
      <c r="H453" s="1" t="s">
        <v>158</v>
      </c>
      <c r="I453" s="13" t="s">
        <v>102</v>
      </c>
      <c r="J453" s="81">
        <f>51415054+46792290</f>
        <v>98207344</v>
      </c>
      <c r="K453" s="81">
        <f>51921605.29+47247213.03</f>
        <v>99168818.319999993</v>
      </c>
      <c r="L453" s="81">
        <f>52303221.34+47256685.16</f>
        <v>99559906.5</v>
      </c>
      <c r="M453" s="81"/>
      <c r="N453" s="81"/>
      <c r="O453" s="81"/>
      <c r="P453" s="81">
        <f>P845+P1154+P1222+P1273+P1337+P1401+P1459+P1511+P1569+P1621</f>
        <v>98207344</v>
      </c>
      <c r="Q453" s="81">
        <f t="shared" ref="Q453:U453" si="525">Q845+Q1154+Q1222+Q1273+Q1337+Q1401+Q1459+Q1511+Q1569+Q1621</f>
        <v>99168818.319999993</v>
      </c>
      <c r="R453" s="81">
        <f t="shared" si="525"/>
        <v>99559906.5</v>
      </c>
      <c r="S453" s="81">
        <f t="shared" si="525"/>
        <v>-100000</v>
      </c>
      <c r="T453" s="81">
        <f t="shared" si="525"/>
        <v>0</v>
      </c>
      <c r="U453" s="81">
        <f t="shared" si="525"/>
        <v>0</v>
      </c>
      <c r="V453" s="81">
        <f t="shared" ref="V453:X485" si="526">P453+S453</f>
        <v>98107344</v>
      </c>
      <c r="W453" s="81">
        <f t="shared" si="526"/>
        <v>99168818.319999993</v>
      </c>
      <c r="X453" s="81">
        <f t="shared" si="526"/>
        <v>99559906.5</v>
      </c>
    </row>
    <row r="454" spans="1:24" ht="25.5">
      <c r="A454" s="189" t="s">
        <v>260</v>
      </c>
      <c r="B454" s="1" t="s">
        <v>402</v>
      </c>
      <c r="C454" s="1" t="s">
        <v>20</v>
      </c>
      <c r="D454" s="1" t="s">
        <v>16</v>
      </c>
      <c r="E454" s="1" t="s">
        <v>82</v>
      </c>
      <c r="F454" s="1" t="s">
        <v>70</v>
      </c>
      <c r="G454" s="1" t="s">
        <v>148</v>
      </c>
      <c r="H454" s="1" t="s">
        <v>158</v>
      </c>
      <c r="I454" s="13" t="s">
        <v>94</v>
      </c>
      <c r="J454" s="81">
        <f>J455</f>
        <v>8371864</v>
      </c>
      <c r="K454" s="81">
        <f t="shared" ref="K454:O454" si="527">K455</f>
        <v>8510870.4800000004</v>
      </c>
      <c r="L454" s="81">
        <f t="shared" si="527"/>
        <v>7947735.2199999997</v>
      </c>
      <c r="M454" s="81">
        <f t="shared" si="527"/>
        <v>0</v>
      </c>
      <c r="N454" s="81">
        <f t="shared" si="527"/>
        <v>0</v>
      </c>
      <c r="O454" s="81">
        <f t="shared" si="527"/>
        <v>0</v>
      </c>
      <c r="P454" s="81">
        <f>P455</f>
        <v>8371864</v>
      </c>
      <c r="Q454" s="81">
        <f t="shared" ref="Q454:U454" si="528">Q455</f>
        <v>8510870.4800000004</v>
      </c>
      <c r="R454" s="81">
        <f t="shared" si="528"/>
        <v>7947735.2200000007</v>
      </c>
      <c r="S454" s="81">
        <f t="shared" si="528"/>
        <v>147500</v>
      </c>
      <c r="T454" s="81">
        <f t="shared" si="528"/>
        <v>0</v>
      </c>
      <c r="U454" s="81">
        <f t="shared" si="528"/>
        <v>0</v>
      </c>
      <c r="V454" s="81">
        <f t="shared" si="526"/>
        <v>8519364</v>
      </c>
      <c r="W454" s="81">
        <f t="shared" si="526"/>
        <v>8510870.4800000004</v>
      </c>
      <c r="X454" s="81">
        <f t="shared" si="526"/>
        <v>7947735.2200000007</v>
      </c>
    </row>
    <row r="455" spans="1:24" ht="25.5">
      <c r="A455" s="188" t="s">
        <v>98</v>
      </c>
      <c r="B455" s="1" t="s">
        <v>402</v>
      </c>
      <c r="C455" s="1" t="s">
        <v>20</v>
      </c>
      <c r="D455" s="1" t="s">
        <v>16</v>
      </c>
      <c r="E455" s="1" t="s">
        <v>82</v>
      </c>
      <c r="F455" s="1" t="s">
        <v>70</v>
      </c>
      <c r="G455" s="1" t="s">
        <v>148</v>
      </c>
      <c r="H455" s="1" t="s">
        <v>158</v>
      </c>
      <c r="I455" s="13" t="s">
        <v>95</v>
      </c>
      <c r="J455" s="81">
        <f>3450000+4921864</f>
        <v>8371864</v>
      </c>
      <c r="K455" s="81">
        <f>3450000+5060870.48</f>
        <v>8510870.4800000004</v>
      </c>
      <c r="L455" s="81">
        <f>3080000+4867735.22</f>
        <v>7947735.2199999997</v>
      </c>
      <c r="M455" s="81"/>
      <c r="N455" s="81"/>
      <c r="O455" s="81"/>
      <c r="P455" s="81">
        <f>P847+P1156+P1224+P1275+P1339+P1403+P1461+P1513+P1571+P1623</f>
        <v>8371864</v>
      </c>
      <c r="Q455" s="81">
        <f t="shared" ref="Q455:U455" si="529">Q847+Q1156+Q1224+Q1275+Q1339+Q1403+Q1461+Q1513+Q1571+Q1623</f>
        <v>8510870.4800000004</v>
      </c>
      <c r="R455" s="81">
        <f t="shared" si="529"/>
        <v>7947735.2200000007</v>
      </c>
      <c r="S455" s="81">
        <f t="shared" si="529"/>
        <v>147500</v>
      </c>
      <c r="T455" s="81">
        <f t="shared" si="529"/>
        <v>0</v>
      </c>
      <c r="U455" s="81">
        <f t="shared" si="529"/>
        <v>0</v>
      </c>
      <c r="V455" s="81">
        <f t="shared" si="526"/>
        <v>8519364</v>
      </c>
      <c r="W455" s="81">
        <f t="shared" si="526"/>
        <v>8510870.4800000004</v>
      </c>
      <c r="X455" s="81">
        <f t="shared" si="526"/>
        <v>7947735.2200000007</v>
      </c>
    </row>
    <row r="456" spans="1:24">
      <c r="A456" s="188" t="s">
        <v>80</v>
      </c>
      <c r="B456" s="1" t="s">
        <v>402</v>
      </c>
      <c r="C456" s="1" t="s">
        <v>20</v>
      </c>
      <c r="D456" s="1" t="s">
        <v>16</v>
      </c>
      <c r="E456" s="1" t="s">
        <v>82</v>
      </c>
      <c r="F456" s="1" t="s">
        <v>70</v>
      </c>
      <c r="G456" s="1" t="s">
        <v>148</v>
      </c>
      <c r="H456" s="1" t="s">
        <v>158</v>
      </c>
      <c r="I456" s="13" t="s">
        <v>77</v>
      </c>
      <c r="J456" s="81">
        <f>J457</f>
        <v>270000</v>
      </c>
      <c r="K456" s="81">
        <f t="shared" ref="K456:O456" si="530">K457</f>
        <v>270000</v>
      </c>
      <c r="L456" s="81">
        <f t="shared" si="530"/>
        <v>270000</v>
      </c>
      <c r="M456" s="81">
        <f t="shared" si="530"/>
        <v>0</v>
      </c>
      <c r="N456" s="81">
        <f t="shared" si="530"/>
        <v>0</v>
      </c>
      <c r="O456" s="81">
        <f t="shared" si="530"/>
        <v>0</v>
      </c>
      <c r="P456" s="81">
        <f>P457</f>
        <v>270000</v>
      </c>
      <c r="Q456" s="81">
        <f t="shared" ref="Q456:U456" si="531">Q457</f>
        <v>270000</v>
      </c>
      <c r="R456" s="81">
        <f t="shared" si="531"/>
        <v>270000</v>
      </c>
      <c r="S456" s="81">
        <f t="shared" si="531"/>
        <v>0</v>
      </c>
      <c r="T456" s="81">
        <f t="shared" si="531"/>
        <v>0</v>
      </c>
      <c r="U456" s="81">
        <f t="shared" si="531"/>
        <v>0</v>
      </c>
      <c r="V456" s="81">
        <f t="shared" si="526"/>
        <v>270000</v>
      </c>
      <c r="W456" s="81">
        <f t="shared" si="526"/>
        <v>270000</v>
      </c>
      <c r="X456" s="81">
        <f t="shared" si="526"/>
        <v>270000</v>
      </c>
    </row>
    <row r="457" spans="1:24">
      <c r="A457" s="190" t="s">
        <v>125</v>
      </c>
      <c r="B457" s="1" t="s">
        <v>402</v>
      </c>
      <c r="C457" s="1" t="s">
        <v>20</v>
      </c>
      <c r="D457" s="1" t="s">
        <v>16</v>
      </c>
      <c r="E457" s="1" t="s">
        <v>82</v>
      </c>
      <c r="F457" s="1" t="s">
        <v>70</v>
      </c>
      <c r="G457" s="1" t="s">
        <v>148</v>
      </c>
      <c r="H457" s="1" t="s">
        <v>158</v>
      </c>
      <c r="I457" s="13" t="s">
        <v>124</v>
      </c>
      <c r="J457" s="81">
        <f>150000+120000</f>
        <v>270000</v>
      </c>
      <c r="K457" s="81">
        <f>150000+120000</f>
        <v>270000</v>
      </c>
      <c r="L457" s="81">
        <f>150000+120000</f>
        <v>270000</v>
      </c>
      <c r="M457" s="81"/>
      <c r="N457" s="81"/>
      <c r="O457" s="81"/>
      <c r="P457" s="81">
        <f>P849+P1158+P1226+P1277+P1341+P1405+P1463+P1515+P1573</f>
        <v>270000</v>
      </c>
      <c r="Q457" s="81">
        <f t="shared" ref="Q457:U457" si="532">Q849+Q1158+Q1226+Q1277+Q1341+Q1405+Q1463+Q1515+Q1573</f>
        <v>270000</v>
      </c>
      <c r="R457" s="81">
        <f t="shared" si="532"/>
        <v>270000</v>
      </c>
      <c r="S457" s="81">
        <f t="shared" si="532"/>
        <v>0</v>
      </c>
      <c r="T457" s="81">
        <f t="shared" si="532"/>
        <v>0</v>
      </c>
      <c r="U457" s="81">
        <f t="shared" si="532"/>
        <v>0</v>
      </c>
      <c r="V457" s="81">
        <f t="shared" si="526"/>
        <v>270000</v>
      </c>
      <c r="W457" s="81">
        <f t="shared" si="526"/>
        <v>270000</v>
      </c>
      <c r="X457" s="81">
        <f t="shared" si="526"/>
        <v>270000</v>
      </c>
    </row>
    <row r="458" spans="1:24">
      <c r="A458" s="188" t="s">
        <v>90</v>
      </c>
      <c r="B458" s="1" t="s">
        <v>402</v>
      </c>
      <c r="C458" s="1" t="s">
        <v>20</v>
      </c>
      <c r="D458" s="1" t="s">
        <v>16</v>
      </c>
      <c r="E458" s="1" t="s">
        <v>82</v>
      </c>
      <c r="F458" s="1" t="s">
        <v>70</v>
      </c>
      <c r="G458" s="1" t="s">
        <v>148</v>
      </c>
      <c r="H458" s="1" t="s">
        <v>174</v>
      </c>
      <c r="I458" s="13"/>
      <c r="J458" s="81">
        <f>J459</f>
        <v>300000</v>
      </c>
      <c r="K458" s="81">
        <f t="shared" ref="K458:O459" si="533">K459</f>
        <v>300000</v>
      </c>
      <c r="L458" s="81">
        <f t="shared" si="533"/>
        <v>300000</v>
      </c>
      <c r="M458" s="81">
        <f t="shared" si="533"/>
        <v>0</v>
      </c>
      <c r="N458" s="81">
        <f t="shared" si="533"/>
        <v>0</v>
      </c>
      <c r="O458" s="81">
        <f t="shared" si="533"/>
        <v>0</v>
      </c>
      <c r="P458" s="81">
        <f>P459</f>
        <v>300000</v>
      </c>
      <c r="Q458" s="81">
        <f t="shared" ref="Q458:U459" si="534">Q459</f>
        <v>300000</v>
      </c>
      <c r="R458" s="81">
        <f t="shared" si="534"/>
        <v>300000</v>
      </c>
      <c r="S458" s="81">
        <f t="shared" si="534"/>
        <v>0</v>
      </c>
      <c r="T458" s="81">
        <f t="shared" si="534"/>
        <v>0</v>
      </c>
      <c r="U458" s="81">
        <f t="shared" si="534"/>
        <v>0</v>
      </c>
      <c r="V458" s="81">
        <f t="shared" si="526"/>
        <v>300000</v>
      </c>
      <c r="W458" s="81">
        <f t="shared" si="526"/>
        <v>300000</v>
      </c>
      <c r="X458" s="81">
        <f t="shared" si="526"/>
        <v>300000</v>
      </c>
    </row>
    <row r="459" spans="1:24" ht="25.5">
      <c r="A459" s="189" t="s">
        <v>260</v>
      </c>
      <c r="B459" s="1" t="s">
        <v>402</v>
      </c>
      <c r="C459" s="1" t="s">
        <v>20</v>
      </c>
      <c r="D459" s="1" t="s">
        <v>16</v>
      </c>
      <c r="E459" s="1" t="s">
        <v>82</v>
      </c>
      <c r="F459" s="1" t="s">
        <v>70</v>
      </c>
      <c r="G459" s="1" t="s">
        <v>148</v>
      </c>
      <c r="H459" s="1" t="s">
        <v>174</v>
      </c>
      <c r="I459" s="13" t="s">
        <v>94</v>
      </c>
      <c r="J459" s="81">
        <f>J460</f>
        <v>300000</v>
      </c>
      <c r="K459" s="81">
        <f t="shared" si="533"/>
        <v>300000</v>
      </c>
      <c r="L459" s="81">
        <f t="shared" si="533"/>
        <v>300000</v>
      </c>
      <c r="M459" s="81">
        <f t="shared" si="533"/>
        <v>0</v>
      </c>
      <c r="N459" s="81">
        <f t="shared" si="533"/>
        <v>0</v>
      </c>
      <c r="O459" s="81">
        <f t="shared" si="533"/>
        <v>0</v>
      </c>
      <c r="P459" s="81">
        <f>P460</f>
        <v>300000</v>
      </c>
      <c r="Q459" s="81">
        <f t="shared" si="534"/>
        <v>300000</v>
      </c>
      <c r="R459" s="81">
        <f t="shared" si="534"/>
        <v>300000</v>
      </c>
      <c r="S459" s="81">
        <f t="shared" si="534"/>
        <v>0</v>
      </c>
      <c r="T459" s="81">
        <f t="shared" si="534"/>
        <v>0</v>
      </c>
      <c r="U459" s="81">
        <f t="shared" si="534"/>
        <v>0</v>
      </c>
      <c r="V459" s="81">
        <f t="shared" si="526"/>
        <v>300000</v>
      </c>
      <c r="W459" s="81">
        <f t="shared" si="526"/>
        <v>300000</v>
      </c>
      <c r="X459" s="81">
        <f t="shared" si="526"/>
        <v>300000</v>
      </c>
    </row>
    <row r="460" spans="1:24" ht="25.5">
      <c r="A460" s="188" t="s">
        <v>98</v>
      </c>
      <c r="B460" s="1" t="s">
        <v>402</v>
      </c>
      <c r="C460" s="1" t="s">
        <v>20</v>
      </c>
      <c r="D460" s="1" t="s">
        <v>16</v>
      </c>
      <c r="E460" s="1" t="s">
        <v>82</v>
      </c>
      <c r="F460" s="1" t="s">
        <v>70</v>
      </c>
      <c r="G460" s="1" t="s">
        <v>148</v>
      </c>
      <c r="H460" s="1" t="s">
        <v>174</v>
      </c>
      <c r="I460" s="13" t="s">
        <v>95</v>
      </c>
      <c r="J460" s="81">
        <v>300000</v>
      </c>
      <c r="K460" s="81">
        <v>300000</v>
      </c>
      <c r="L460" s="81">
        <v>300000</v>
      </c>
      <c r="M460" s="81"/>
      <c r="N460" s="81"/>
      <c r="O460" s="81"/>
      <c r="P460" s="81">
        <f>P852</f>
        <v>300000</v>
      </c>
      <c r="Q460" s="81">
        <f t="shared" ref="Q460:U460" si="535">Q852</f>
        <v>300000</v>
      </c>
      <c r="R460" s="81">
        <f t="shared" si="535"/>
        <v>300000</v>
      </c>
      <c r="S460" s="81">
        <f t="shared" si="535"/>
        <v>0</v>
      </c>
      <c r="T460" s="81">
        <f t="shared" si="535"/>
        <v>0</v>
      </c>
      <c r="U460" s="81">
        <f t="shared" si="535"/>
        <v>0</v>
      </c>
      <c r="V460" s="81">
        <f t="shared" si="526"/>
        <v>300000</v>
      </c>
      <c r="W460" s="81">
        <f t="shared" si="526"/>
        <v>300000</v>
      </c>
      <c r="X460" s="81">
        <f t="shared" si="526"/>
        <v>300000</v>
      </c>
    </row>
    <row r="461" spans="1:24">
      <c r="A461" s="9" t="s">
        <v>76</v>
      </c>
      <c r="B461" s="1" t="s">
        <v>402</v>
      </c>
      <c r="C461" s="1" t="s">
        <v>20</v>
      </c>
      <c r="D461" s="1" t="s">
        <v>16</v>
      </c>
      <c r="E461" s="1" t="s">
        <v>82</v>
      </c>
      <c r="F461" s="1" t="s">
        <v>70</v>
      </c>
      <c r="G461" s="1" t="s">
        <v>148</v>
      </c>
      <c r="H461" s="1" t="s">
        <v>176</v>
      </c>
      <c r="I461" s="13"/>
      <c r="J461" s="81">
        <f>J462+J464</f>
        <v>545094.90999999992</v>
      </c>
      <c r="K461" s="81">
        <f t="shared" ref="K461:O461" si="536">K462+K464</f>
        <v>593704.14</v>
      </c>
      <c r="L461" s="81">
        <f t="shared" si="536"/>
        <v>671120.81</v>
      </c>
      <c r="M461" s="81">
        <f t="shared" si="536"/>
        <v>5001.62</v>
      </c>
      <c r="N461" s="81">
        <f t="shared" si="536"/>
        <v>-17822.43</v>
      </c>
      <c r="O461" s="81">
        <f t="shared" si="536"/>
        <v>-74078.16</v>
      </c>
      <c r="P461" s="81">
        <f>P462+P464</f>
        <v>550096.53</v>
      </c>
      <c r="Q461" s="81">
        <f t="shared" ref="Q461:U461" si="537">Q462+Q464</f>
        <v>575881.71</v>
      </c>
      <c r="R461" s="81">
        <f t="shared" si="537"/>
        <v>597042.65</v>
      </c>
      <c r="S461" s="81">
        <f t="shared" si="537"/>
        <v>0</v>
      </c>
      <c r="T461" s="81">
        <f t="shared" si="537"/>
        <v>0</v>
      </c>
      <c r="U461" s="81">
        <f t="shared" si="537"/>
        <v>0</v>
      </c>
      <c r="V461" s="81">
        <f t="shared" si="526"/>
        <v>550096.53</v>
      </c>
      <c r="W461" s="81">
        <f t="shared" si="526"/>
        <v>575881.71</v>
      </c>
      <c r="X461" s="81">
        <f t="shared" si="526"/>
        <v>597042.65</v>
      </c>
    </row>
    <row r="462" spans="1:24" ht="38.25">
      <c r="A462" s="188" t="s">
        <v>96</v>
      </c>
      <c r="B462" s="1" t="s">
        <v>402</v>
      </c>
      <c r="C462" s="1" t="s">
        <v>20</v>
      </c>
      <c r="D462" s="1" t="s">
        <v>16</v>
      </c>
      <c r="E462" s="1" t="s">
        <v>82</v>
      </c>
      <c r="F462" s="1" t="s">
        <v>70</v>
      </c>
      <c r="G462" s="1" t="s">
        <v>148</v>
      </c>
      <c r="H462" s="1" t="s">
        <v>176</v>
      </c>
      <c r="I462" s="13" t="s">
        <v>92</v>
      </c>
      <c r="J462" s="81">
        <f>J463</f>
        <v>510094.91</v>
      </c>
      <c r="K462" s="81">
        <f t="shared" ref="K462:O462" si="538">K463</f>
        <v>558704.14</v>
      </c>
      <c r="L462" s="81">
        <f t="shared" si="538"/>
        <v>636120.81000000006</v>
      </c>
      <c r="M462" s="81">
        <f t="shared" si="538"/>
        <v>5001.62</v>
      </c>
      <c r="N462" s="81">
        <f t="shared" si="538"/>
        <v>-17822.43</v>
      </c>
      <c r="O462" s="81">
        <f t="shared" si="538"/>
        <v>-74078.16</v>
      </c>
      <c r="P462" s="81">
        <f>P463</f>
        <v>515096.52999999997</v>
      </c>
      <c r="Q462" s="81">
        <f t="shared" ref="Q462:U462" si="539">Q463</f>
        <v>540881.71</v>
      </c>
      <c r="R462" s="81">
        <f t="shared" si="539"/>
        <v>562042.65</v>
      </c>
      <c r="S462" s="81">
        <f t="shared" si="539"/>
        <v>0</v>
      </c>
      <c r="T462" s="81">
        <f t="shared" si="539"/>
        <v>0</v>
      </c>
      <c r="U462" s="81">
        <f t="shared" si="539"/>
        <v>0</v>
      </c>
      <c r="V462" s="81">
        <f t="shared" si="526"/>
        <v>515096.52999999997</v>
      </c>
      <c r="W462" s="81">
        <f t="shared" si="526"/>
        <v>540881.71</v>
      </c>
      <c r="X462" s="81">
        <f t="shared" si="526"/>
        <v>562042.65</v>
      </c>
    </row>
    <row r="463" spans="1:24">
      <c r="A463" s="188" t="s">
        <v>103</v>
      </c>
      <c r="B463" s="1" t="s">
        <v>402</v>
      </c>
      <c r="C463" s="1" t="s">
        <v>20</v>
      </c>
      <c r="D463" s="1" t="s">
        <v>16</v>
      </c>
      <c r="E463" s="1" t="s">
        <v>82</v>
      </c>
      <c r="F463" s="1" t="s">
        <v>70</v>
      </c>
      <c r="G463" s="1" t="s">
        <v>148</v>
      </c>
      <c r="H463" s="1" t="s">
        <v>176</v>
      </c>
      <c r="I463" s="13" t="s">
        <v>102</v>
      </c>
      <c r="J463" s="81">
        <f>500094.91+10000</f>
        <v>510094.91</v>
      </c>
      <c r="K463" s="81">
        <f>548704.14+10000</f>
        <v>558704.14</v>
      </c>
      <c r="L463" s="81">
        <f>626120.81+10000</f>
        <v>636120.81000000006</v>
      </c>
      <c r="M463" s="81">
        <v>5001.62</v>
      </c>
      <c r="N463" s="81">
        <v>-17822.43</v>
      </c>
      <c r="O463" s="81">
        <v>-74078.16</v>
      </c>
      <c r="P463" s="81">
        <f>P855</f>
        <v>515096.52999999997</v>
      </c>
      <c r="Q463" s="81">
        <f t="shared" ref="Q463:U463" si="540">Q855</f>
        <v>540881.71</v>
      </c>
      <c r="R463" s="81">
        <f t="shared" si="540"/>
        <v>562042.65</v>
      </c>
      <c r="S463" s="81">
        <f t="shared" si="540"/>
        <v>0</v>
      </c>
      <c r="T463" s="81">
        <f t="shared" si="540"/>
        <v>0</v>
      </c>
      <c r="U463" s="81">
        <f t="shared" si="540"/>
        <v>0</v>
      </c>
      <c r="V463" s="81">
        <f t="shared" si="526"/>
        <v>515096.52999999997</v>
      </c>
      <c r="W463" s="81">
        <f t="shared" si="526"/>
        <v>540881.71</v>
      </c>
      <c r="X463" s="81">
        <f t="shared" si="526"/>
        <v>562042.65</v>
      </c>
    </row>
    <row r="464" spans="1:24" ht="25.5">
      <c r="A464" s="189" t="s">
        <v>260</v>
      </c>
      <c r="B464" s="1" t="s">
        <v>402</v>
      </c>
      <c r="C464" s="1" t="s">
        <v>20</v>
      </c>
      <c r="D464" s="1" t="s">
        <v>16</v>
      </c>
      <c r="E464" s="1" t="s">
        <v>82</v>
      </c>
      <c r="F464" s="1" t="s">
        <v>70</v>
      </c>
      <c r="G464" s="1" t="s">
        <v>148</v>
      </c>
      <c r="H464" s="1" t="s">
        <v>176</v>
      </c>
      <c r="I464" s="13" t="s">
        <v>94</v>
      </c>
      <c r="J464" s="81">
        <f>J465</f>
        <v>35000</v>
      </c>
      <c r="K464" s="81">
        <f t="shared" ref="K464:O464" si="541">K465</f>
        <v>35000</v>
      </c>
      <c r="L464" s="81">
        <f t="shared" si="541"/>
        <v>35000</v>
      </c>
      <c r="M464" s="81">
        <f t="shared" si="541"/>
        <v>0</v>
      </c>
      <c r="N464" s="81">
        <f t="shared" si="541"/>
        <v>0</v>
      </c>
      <c r="O464" s="81">
        <f t="shared" si="541"/>
        <v>0</v>
      </c>
      <c r="P464" s="81">
        <f>P465</f>
        <v>35000</v>
      </c>
      <c r="Q464" s="81">
        <f t="shared" ref="Q464:U464" si="542">Q465</f>
        <v>35000</v>
      </c>
      <c r="R464" s="81">
        <f t="shared" si="542"/>
        <v>35000</v>
      </c>
      <c r="S464" s="81">
        <f t="shared" si="542"/>
        <v>0</v>
      </c>
      <c r="T464" s="81">
        <f t="shared" si="542"/>
        <v>0</v>
      </c>
      <c r="U464" s="81">
        <f t="shared" si="542"/>
        <v>0</v>
      </c>
      <c r="V464" s="81">
        <f t="shared" si="526"/>
        <v>35000</v>
      </c>
      <c r="W464" s="81">
        <f t="shared" si="526"/>
        <v>35000</v>
      </c>
      <c r="X464" s="81">
        <f t="shared" si="526"/>
        <v>35000</v>
      </c>
    </row>
    <row r="465" spans="1:24" ht="25.5">
      <c r="A465" s="188" t="s">
        <v>98</v>
      </c>
      <c r="B465" s="1" t="s">
        <v>402</v>
      </c>
      <c r="C465" s="1" t="s">
        <v>20</v>
      </c>
      <c r="D465" s="1" t="s">
        <v>16</v>
      </c>
      <c r="E465" s="1" t="s">
        <v>82</v>
      </c>
      <c r="F465" s="1" t="s">
        <v>70</v>
      </c>
      <c r="G465" s="1" t="s">
        <v>148</v>
      </c>
      <c r="H465" s="1" t="s">
        <v>176</v>
      </c>
      <c r="I465" s="13" t="s">
        <v>95</v>
      </c>
      <c r="J465" s="81">
        <v>35000</v>
      </c>
      <c r="K465" s="81">
        <v>35000</v>
      </c>
      <c r="L465" s="81">
        <v>35000</v>
      </c>
      <c r="M465" s="81"/>
      <c r="N465" s="81"/>
      <c r="O465" s="81"/>
      <c r="P465" s="81">
        <f>P857</f>
        <v>35000</v>
      </c>
      <c r="Q465" s="81">
        <f t="shared" ref="Q465:U465" si="543">Q857</f>
        <v>35000</v>
      </c>
      <c r="R465" s="81">
        <f t="shared" si="543"/>
        <v>35000</v>
      </c>
      <c r="S465" s="81">
        <f t="shared" si="543"/>
        <v>0</v>
      </c>
      <c r="T465" s="81">
        <f t="shared" si="543"/>
        <v>0</v>
      </c>
      <c r="U465" s="81">
        <f t="shared" si="543"/>
        <v>0</v>
      </c>
      <c r="V465" s="81">
        <f t="shared" si="526"/>
        <v>35000</v>
      </c>
      <c r="W465" s="81">
        <f t="shared" si="526"/>
        <v>35000</v>
      </c>
      <c r="X465" s="81">
        <f t="shared" si="526"/>
        <v>35000</v>
      </c>
    </row>
    <row r="466" spans="1:24" ht="51">
      <c r="A466" s="9" t="s">
        <v>231</v>
      </c>
      <c r="B466" s="1" t="s">
        <v>402</v>
      </c>
      <c r="C466" s="1" t="s">
        <v>20</v>
      </c>
      <c r="D466" s="1" t="s">
        <v>16</v>
      </c>
      <c r="E466" s="1" t="s">
        <v>82</v>
      </c>
      <c r="F466" s="1" t="s">
        <v>70</v>
      </c>
      <c r="G466" s="1" t="s">
        <v>148</v>
      </c>
      <c r="H466" s="1" t="s">
        <v>218</v>
      </c>
      <c r="I466" s="13"/>
      <c r="J466" s="81">
        <f>J467+J469</f>
        <v>2180379.6399999997</v>
      </c>
      <c r="K466" s="81">
        <f t="shared" ref="K466:O466" si="544">K467+K469</f>
        <v>2374816.54</v>
      </c>
      <c r="L466" s="81">
        <f t="shared" si="544"/>
        <v>2684483.21</v>
      </c>
      <c r="M466" s="81">
        <f t="shared" si="544"/>
        <v>20006.48</v>
      </c>
      <c r="N466" s="81">
        <f t="shared" si="544"/>
        <v>-71289.710000000006</v>
      </c>
      <c r="O466" s="81">
        <f t="shared" si="544"/>
        <v>-296312.59999999998</v>
      </c>
      <c r="P466" s="81">
        <f>P467+P469</f>
        <v>2200386.12</v>
      </c>
      <c r="Q466" s="81">
        <f t="shared" ref="Q466:U466" si="545">Q467+Q469</f>
        <v>2303526.83</v>
      </c>
      <c r="R466" s="81">
        <f t="shared" si="545"/>
        <v>2388170.61</v>
      </c>
      <c r="S466" s="81">
        <f t="shared" si="545"/>
        <v>0</v>
      </c>
      <c r="T466" s="81">
        <f t="shared" si="545"/>
        <v>0</v>
      </c>
      <c r="U466" s="81">
        <f t="shared" si="545"/>
        <v>0</v>
      </c>
      <c r="V466" s="81">
        <f t="shared" si="526"/>
        <v>2200386.12</v>
      </c>
      <c r="W466" s="81">
        <f t="shared" si="526"/>
        <v>2303526.83</v>
      </c>
      <c r="X466" s="81">
        <f t="shared" si="526"/>
        <v>2388170.61</v>
      </c>
    </row>
    <row r="467" spans="1:24" ht="38.25">
      <c r="A467" s="188" t="s">
        <v>96</v>
      </c>
      <c r="B467" s="1" t="s">
        <v>402</v>
      </c>
      <c r="C467" s="1" t="s">
        <v>20</v>
      </c>
      <c r="D467" s="1" t="s">
        <v>16</v>
      </c>
      <c r="E467" s="1" t="s">
        <v>82</v>
      </c>
      <c r="F467" s="1" t="s">
        <v>70</v>
      </c>
      <c r="G467" s="1" t="s">
        <v>148</v>
      </c>
      <c r="H467" s="1" t="s">
        <v>218</v>
      </c>
      <c r="I467" s="13" t="s">
        <v>92</v>
      </c>
      <c r="J467" s="81">
        <f>J468</f>
        <v>2040379.64</v>
      </c>
      <c r="K467" s="81">
        <f t="shared" ref="K467:O467" si="546">K468</f>
        <v>2234816.54</v>
      </c>
      <c r="L467" s="81">
        <f t="shared" si="546"/>
        <v>2544483.21</v>
      </c>
      <c r="M467" s="81">
        <f t="shared" si="546"/>
        <v>20006.48</v>
      </c>
      <c r="N467" s="81">
        <f t="shared" si="546"/>
        <v>-71289.710000000006</v>
      </c>
      <c r="O467" s="81">
        <f t="shared" si="546"/>
        <v>-296312.59999999998</v>
      </c>
      <c r="P467" s="81">
        <f>P468</f>
        <v>2060386.1199999999</v>
      </c>
      <c r="Q467" s="81">
        <f t="shared" ref="Q467:U467" si="547">Q468</f>
        <v>2163526.83</v>
      </c>
      <c r="R467" s="81">
        <f t="shared" si="547"/>
        <v>2248170.61</v>
      </c>
      <c r="S467" s="81">
        <f t="shared" si="547"/>
        <v>0</v>
      </c>
      <c r="T467" s="81">
        <f t="shared" si="547"/>
        <v>0</v>
      </c>
      <c r="U467" s="81">
        <f t="shared" si="547"/>
        <v>0</v>
      </c>
      <c r="V467" s="81">
        <f t="shared" si="526"/>
        <v>2060386.1199999999</v>
      </c>
      <c r="W467" s="81">
        <f t="shared" si="526"/>
        <v>2163526.83</v>
      </c>
      <c r="X467" s="81">
        <f t="shared" si="526"/>
        <v>2248170.61</v>
      </c>
    </row>
    <row r="468" spans="1:24">
      <c r="A468" s="188" t="s">
        <v>103</v>
      </c>
      <c r="B468" s="1" t="s">
        <v>402</v>
      </c>
      <c r="C468" s="1" t="s">
        <v>20</v>
      </c>
      <c r="D468" s="1" t="s">
        <v>16</v>
      </c>
      <c r="E468" s="1" t="s">
        <v>82</v>
      </c>
      <c r="F468" s="1" t="s">
        <v>70</v>
      </c>
      <c r="G468" s="1" t="s">
        <v>148</v>
      </c>
      <c r="H468" s="1" t="s">
        <v>218</v>
      </c>
      <c r="I468" s="13" t="s">
        <v>102</v>
      </c>
      <c r="J468" s="81">
        <f>2000379.64+40000</f>
        <v>2040379.64</v>
      </c>
      <c r="K468" s="81">
        <f>2194816.54+40000</f>
        <v>2234816.54</v>
      </c>
      <c r="L468" s="81">
        <f>2504483.21+40000</f>
        <v>2544483.21</v>
      </c>
      <c r="M468" s="81">
        <v>20006.48</v>
      </c>
      <c r="N468" s="81">
        <v>-71289.710000000006</v>
      </c>
      <c r="O468" s="81">
        <v>-296312.59999999998</v>
      </c>
      <c r="P468" s="81">
        <f>P860</f>
        <v>2060386.1199999999</v>
      </c>
      <c r="Q468" s="81">
        <f t="shared" ref="Q468:U468" si="548">Q860</f>
        <v>2163526.83</v>
      </c>
      <c r="R468" s="81">
        <f t="shared" si="548"/>
        <v>2248170.61</v>
      </c>
      <c r="S468" s="81">
        <f t="shared" si="548"/>
        <v>0</v>
      </c>
      <c r="T468" s="81">
        <f t="shared" si="548"/>
        <v>0</v>
      </c>
      <c r="U468" s="81">
        <f t="shared" si="548"/>
        <v>0</v>
      </c>
      <c r="V468" s="81">
        <f t="shared" si="526"/>
        <v>2060386.1199999999</v>
      </c>
      <c r="W468" s="81">
        <f t="shared" si="526"/>
        <v>2163526.83</v>
      </c>
      <c r="X468" s="81">
        <f t="shared" si="526"/>
        <v>2248170.61</v>
      </c>
    </row>
    <row r="469" spans="1:24" ht="25.5">
      <c r="A469" s="189" t="s">
        <v>260</v>
      </c>
      <c r="B469" s="1" t="s">
        <v>402</v>
      </c>
      <c r="C469" s="1" t="s">
        <v>20</v>
      </c>
      <c r="D469" s="1" t="s">
        <v>16</v>
      </c>
      <c r="E469" s="1" t="s">
        <v>82</v>
      </c>
      <c r="F469" s="1" t="s">
        <v>70</v>
      </c>
      <c r="G469" s="1" t="s">
        <v>148</v>
      </c>
      <c r="H469" s="1" t="s">
        <v>218</v>
      </c>
      <c r="I469" s="13" t="s">
        <v>94</v>
      </c>
      <c r="J469" s="81">
        <f>J470</f>
        <v>140000</v>
      </c>
      <c r="K469" s="81">
        <f t="shared" ref="K469:O469" si="549">K470</f>
        <v>140000</v>
      </c>
      <c r="L469" s="81">
        <f t="shared" si="549"/>
        <v>140000</v>
      </c>
      <c r="M469" s="81">
        <f t="shared" si="549"/>
        <v>0</v>
      </c>
      <c r="N469" s="81">
        <f t="shared" si="549"/>
        <v>0</v>
      </c>
      <c r="O469" s="81">
        <f t="shared" si="549"/>
        <v>0</v>
      </c>
      <c r="P469" s="81">
        <f>P470</f>
        <v>140000</v>
      </c>
      <c r="Q469" s="81">
        <f t="shared" ref="Q469:U469" si="550">Q470</f>
        <v>140000</v>
      </c>
      <c r="R469" s="81">
        <f t="shared" si="550"/>
        <v>140000</v>
      </c>
      <c r="S469" s="81">
        <f t="shared" si="550"/>
        <v>0</v>
      </c>
      <c r="T469" s="81">
        <f t="shared" si="550"/>
        <v>0</v>
      </c>
      <c r="U469" s="81">
        <f t="shared" si="550"/>
        <v>0</v>
      </c>
      <c r="V469" s="81">
        <f t="shared" si="526"/>
        <v>140000</v>
      </c>
      <c r="W469" s="81">
        <f t="shared" si="526"/>
        <v>140000</v>
      </c>
      <c r="X469" s="81">
        <f t="shared" si="526"/>
        <v>140000</v>
      </c>
    </row>
    <row r="470" spans="1:24" ht="25.5">
      <c r="A470" s="188" t="s">
        <v>98</v>
      </c>
      <c r="B470" s="1" t="s">
        <v>402</v>
      </c>
      <c r="C470" s="1" t="s">
        <v>20</v>
      </c>
      <c r="D470" s="1" t="s">
        <v>16</v>
      </c>
      <c r="E470" s="1" t="s">
        <v>82</v>
      </c>
      <c r="F470" s="1" t="s">
        <v>70</v>
      </c>
      <c r="G470" s="1" t="s">
        <v>148</v>
      </c>
      <c r="H470" s="1" t="s">
        <v>218</v>
      </c>
      <c r="I470" s="13" t="s">
        <v>95</v>
      </c>
      <c r="J470" s="81">
        <v>140000</v>
      </c>
      <c r="K470" s="81">
        <v>140000</v>
      </c>
      <c r="L470" s="81">
        <v>140000</v>
      </c>
      <c r="M470" s="81"/>
      <c r="N470" s="81"/>
      <c r="O470" s="81"/>
      <c r="P470" s="81">
        <f>P862</f>
        <v>140000</v>
      </c>
      <c r="Q470" s="81">
        <f t="shared" ref="Q470:U470" si="551">Q862</f>
        <v>140000</v>
      </c>
      <c r="R470" s="81">
        <f t="shared" si="551"/>
        <v>140000</v>
      </c>
      <c r="S470" s="81">
        <f t="shared" si="551"/>
        <v>0</v>
      </c>
      <c r="T470" s="81">
        <f t="shared" si="551"/>
        <v>0</v>
      </c>
      <c r="U470" s="81">
        <f t="shared" si="551"/>
        <v>0</v>
      </c>
      <c r="V470" s="81">
        <f t="shared" si="526"/>
        <v>140000</v>
      </c>
      <c r="W470" s="81">
        <f t="shared" si="526"/>
        <v>140000</v>
      </c>
      <c r="X470" s="81">
        <f t="shared" si="526"/>
        <v>140000</v>
      </c>
    </row>
    <row r="471" spans="1:24" ht="51">
      <c r="A471" s="9" t="s">
        <v>233</v>
      </c>
      <c r="B471" s="1" t="s">
        <v>402</v>
      </c>
      <c r="C471" s="1" t="s">
        <v>20</v>
      </c>
      <c r="D471" s="1" t="s">
        <v>16</v>
      </c>
      <c r="E471" s="1" t="s">
        <v>82</v>
      </c>
      <c r="F471" s="1" t="s">
        <v>70</v>
      </c>
      <c r="G471" s="1" t="s">
        <v>148</v>
      </c>
      <c r="H471" s="1" t="s">
        <v>232</v>
      </c>
      <c r="I471" s="13"/>
      <c r="J471" s="81">
        <f>J472+J474</f>
        <v>1195189.8199999998</v>
      </c>
      <c r="K471" s="81">
        <f>K472+K474</f>
        <v>1292408.27</v>
      </c>
      <c r="L471" s="81">
        <f t="shared" ref="L471:O471" si="552">L472+L474</f>
        <v>1447241.6</v>
      </c>
      <c r="M471" s="81">
        <f t="shared" si="552"/>
        <v>10003.24</v>
      </c>
      <c r="N471" s="81">
        <f t="shared" si="552"/>
        <v>-35644.85</v>
      </c>
      <c r="O471" s="81">
        <f t="shared" si="552"/>
        <v>-148156.29</v>
      </c>
      <c r="P471" s="81">
        <f>P472+P474</f>
        <v>1205193.06</v>
      </c>
      <c r="Q471" s="81">
        <f t="shared" ref="Q471:U471" si="553">Q472+Q474</f>
        <v>1256763.42</v>
      </c>
      <c r="R471" s="81">
        <f t="shared" si="553"/>
        <v>1299085.31</v>
      </c>
      <c r="S471" s="81">
        <f t="shared" si="553"/>
        <v>0</v>
      </c>
      <c r="T471" s="81">
        <f t="shared" si="553"/>
        <v>0</v>
      </c>
      <c r="U471" s="81">
        <f t="shared" si="553"/>
        <v>0</v>
      </c>
      <c r="V471" s="81">
        <f t="shared" si="526"/>
        <v>1205193.06</v>
      </c>
      <c r="W471" s="81">
        <f t="shared" si="526"/>
        <v>1256763.42</v>
      </c>
      <c r="X471" s="81">
        <f t="shared" si="526"/>
        <v>1299085.31</v>
      </c>
    </row>
    <row r="472" spans="1:24" ht="38.25">
      <c r="A472" s="188" t="s">
        <v>96</v>
      </c>
      <c r="B472" s="1" t="s">
        <v>402</v>
      </c>
      <c r="C472" s="1" t="s">
        <v>20</v>
      </c>
      <c r="D472" s="1" t="s">
        <v>16</v>
      </c>
      <c r="E472" s="1" t="s">
        <v>82</v>
      </c>
      <c r="F472" s="1" t="s">
        <v>70</v>
      </c>
      <c r="G472" s="1" t="s">
        <v>148</v>
      </c>
      <c r="H472" s="1" t="s">
        <v>232</v>
      </c>
      <c r="I472" s="13" t="s">
        <v>92</v>
      </c>
      <c r="J472" s="81">
        <f>J473</f>
        <v>1020189.82</v>
      </c>
      <c r="K472" s="81">
        <f t="shared" ref="K472:O472" si="554">K473</f>
        <v>1117408.27</v>
      </c>
      <c r="L472" s="81">
        <f t="shared" si="554"/>
        <v>1272241.6000000001</v>
      </c>
      <c r="M472" s="81">
        <f t="shared" si="554"/>
        <v>10003.24</v>
      </c>
      <c r="N472" s="81">
        <f t="shared" si="554"/>
        <v>-35644.85</v>
      </c>
      <c r="O472" s="81">
        <f t="shared" si="554"/>
        <v>-148156.29</v>
      </c>
      <c r="P472" s="81">
        <f>P473</f>
        <v>1030193.0599999999</v>
      </c>
      <c r="Q472" s="81">
        <f t="shared" ref="Q472:U472" si="555">Q473</f>
        <v>1081763.42</v>
      </c>
      <c r="R472" s="81">
        <f t="shared" si="555"/>
        <v>1124085.31</v>
      </c>
      <c r="S472" s="81">
        <f t="shared" si="555"/>
        <v>0</v>
      </c>
      <c r="T472" s="81">
        <f t="shared" si="555"/>
        <v>0</v>
      </c>
      <c r="U472" s="81">
        <f t="shared" si="555"/>
        <v>0</v>
      </c>
      <c r="V472" s="81">
        <f t="shared" si="526"/>
        <v>1030193.0599999999</v>
      </c>
      <c r="W472" s="81">
        <f t="shared" si="526"/>
        <v>1081763.42</v>
      </c>
      <c r="X472" s="81">
        <f t="shared" si="526"/>
        <v>1124085.31</v>
      </c>
    </row>
    <row r="473" spans="1:24">
      <c r="A473" s="188" t="s">
        <v>103</v>
      </c>
      <c r="B473" s="1" t="s">
        <v>402</v>
      </c>
      <c r="C473" s="1" t="s">
        <v>20</v>
      </c>
      <c r="D473" s="1" t="s">
        <v>16</v>
      </c>
      <c r="E473" s="1" t="s">
        <v>82</v>
      </c>
      <c r="F473" s="1" t="s">
        <v>70</v>
      </c>
      <c r="G473" s="1" t="s">
        <v>148</v>
      </c>
      <c r="H473" s="1" t="s">
        <v>232</v>
      </c>
      <c r="I473" s="13" t="s">
        <v>102</v>
      </c>
      <c r="J473" s="81">
        <f>1000189.82+20000</f>
        <v>1020189.82</v>
      </c>
      <c r="K473" s="81">
        <f>1097408.27+20000</f>
        <v>1117408.27</v>
      </c>
      <c r="L473" s="81">
        <f>1252241.6+20000</f>
        <v>1272241.6000000001</v>
      </c>
      <c r="M473" s="81">
        <v>10003.24</v>
      </c>
      <c r="N473" s="81">
        <v>-35644.85</v>
      </c>
      <c r="O473" s="81">
        <v>-148156.29</v>
      </c>
      <c r="P473" s="81">
        <f>P865</f>
        <v>1030193.0599999999</v>
      </c>
      <c r="Q473" s="81">
        <f t="shared" ref="Q473:U473" si="556">Q865</f>
        <v>1081763.42</v>
      </c>
      <c r="R473" s="81">
        <f t="shared" si="556"/>
        <v>1124085.31</v>
      </c>
      <c r="S473" s="81">
        <f t="shared" si="556"/>
        <v>0</v>
      </c>
      <c r="T473" s="81">
        <f t="shared" si="556"/>
        <v>0</v>
      </c>
      <c r="U473" s="81">
        <f t="shared" si="556"/>
        <v>0</v>
      </c>
      <c r="V473" s="81">
        <f t="shared" si="526"/>
        <v>1030193.0599999999</v>
      </c>
      <c r="W473" s="81">
        <f t="shared" si="526"/>
        <v>1081763.42</v>
      </c>
      <c r="X473" s="81">
        <f t="shared" si="526"/>
        <v>1124085.31</v>
      </c>
    </row>
    <row r="474" spans="1:24" ht="25.5">
      <c r="A474" s="189" t="s">
        <v>260</v>
      </c>
      <c r="B474" s="1" t="s">
        <v>402</v>
      </c>
      <c r="C474" s="1" t="s">
        <v>20</v>
      </c>
      <c r="D474" s="1" t="s">
        <v>16</v>
      </c>
      <c r="E474" s="1" t="s">
        <v>82</v>
      </c>
      <c r="F474" s="1" t="s">
        <v>70</v>
      </c>
      <c r="G474" s="1" t="s">
        <v>148</v>
      </c>
      <c r="H474" s="1" t="s">
        <v>232</v>
      </c>
      <c r="I474" s="13" t="s">
        <v>94</v>
      </c>
      <c r="J474" s="81">
        <f>J475</f>
        <v>175000</v>
      </c>
      <c r="K474" s="81">
        <f t="shared" ref="K474:O474" si="557">K475</f>
        <v>175000</v>
      </c>
      <c r="L474" s="81">
        <f t="shared" si="557"/>
        <v>175000</v>
      </c>
      <c r="M474" s="81">
        <f t="shared" si="557"/>
        <v>0</v>
      </c>
      <c r="N474" s="81">
        <f t="shared" si="557"/>
        <v>0</v>
      </c>
      <c r="O474" s="81">
        <f t="shared" si="557"/>
        <v>0</v>
      </c>
      <c r="P474" s="81">
        <f>P475</f>
        <v>175000</v>
      </c>
      <c r="Q474" s="81">
        <f t="shared" ref="Q474:U474" si="558">Q475</f>
        <v>175000</v>
      </c>
      <c r="R474" s="81">
        <f t="shared" si="558"/>
        <v>175000</v>
      </c>
      <c r="S474" s="81">
        <f t="shared" si="558"/>
        <v>0</v>
      </c>
      <c r="T474" s="81">
        <f t="shared" si="558"/>
        <v>0</v>
      </c>
      <c r="U474" s="81">
        <f t="shared" si="558"/>
        <v>0</v>
      </c>
      <c r="V474" s="81">
        <f t="shared" si="526"/>
        <v>175000</v>
      </c>
      <c r="W474" s="81">
        <f t="shared" si="526"/>
        <v>175000</v>
      </c>
      <c r="X474" s="81">
        <f t="shared" si="526"/>
        <v>175000</v>
      </c>
    </row>
    <row r="475" spans="1:24" ht="25.5">
      <c r="A475" s="188" t="s">
        <v>98</v>
      </c>
      <c r="B475" s="1" t="s">
        <v>402</v>
      </c>
      <c r="C475" s="1" t="s">
        <v>20</v>
      </c>
      <c r="D475" s="1" t="s">
        <v>16</v>
      </c>
      <c r="E475" s="1" t="s">
        <v>82</v>
      </c>
      <c r="F475" s="1" t="s">
        <v>70</v>
      </c>
      <c r="G475" s="1" t="s">
        <v>148</v>
      </c>
      <c r="H475" s="1" t="s">
        <v>232</v>
      </c>
      <c r="I475" s="13" t="s">
        <v>95</v>
      </c>
      <c r="J475" s="81">
        <v>175000</v>
      </c>
      <c r="K475" s="81">
        <v>175000</v>
      </c>
      <c r="L475" s="81">
        <v>175000</v>
      </c>
      <c r="M475" s="81"/>
      <c r="N475" s="81"/>
      <c r="O475" s="81"/>
      <c r="P475" s="81">
        <f>P867</f>
        <v>175000</v>
      </c>
      <c r="Q475" s="81">
        <f t="shared" ref="Q475:U475" si="559">Q867</f>
        <v>175000</v>
      </c>
      <c r="R475" s="81">
        <f t="shared" si="559"/>
        <v>175000</v>
      </c>
      <c r="S475" s="81">
        <f t="shared" si="559"/>
        <v>0</v>
      </c>
      <c r="T475" s="81">
        <f t="shared" si="559"/>
        <v>0</v>
      </c>
      <c r="U475" s="81">
        <f t="shared" si="559"/>
        <v>0</v>
      </c>
      <c r="V475" s="81">
        <f t="shared" si="526"/>
        <v>175000</v>
      </c>
      <c r="W475" s="81">
        <f t="shared" si="526"/>
        <v>175000</v>
      </c>
      <c r="X475" s="81">
        <f t="shared" si="526"/>
        <v>175000</v>
      </c>
    </row>
    <row r="476" spans="1:24">
      <c r="A476" s="188"/>
      <c r="B476" s="1"/>
      <c r="C476" s="1"/>
      <c r="D476" s="1"/>
      <c r="E476" s="1"/>
      <c r="F476" s="1"/>
      <c r="G476" s="1"/>
      <c r="H476" s="1"/>
      <c r="I476" s="13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</row>
    <row r="477" spans="1:24">
      <c r="A477" s="23" t="s">
        <v>191</v>
      </c>
      <c r="B477" s="14" t="s">
        <v>402</v>
      </c>
      <c r="C477" s="14" t="s">
        <v>20</v>
      </c>
      <c r="D477" s="14" t="s">
        <v>18</v>
      </c>
      <c r="E477" s="14"/>
      <c r="F477" s="14"/>
      <c r="G477" s="14"/>
      <c r="H477" s="14"/>
      <c r="I477" s="28"/>
      <c r="J477" s="101">
        <f t="shared" ref="J477:O480" si="560">J478</f>
        <v>2109.33</v>
      </c>
      <c r="K477" s="101">
        <f t="shared" si="560"/>
        <v>1879.4</v>
      </c>
      <c r="L477" s="101">
        <f t="shared" si="560"/>
        <v>1878.66</v>
      </c>
      <c r="M477" s="101">
        <f t="shared" si="560"/>
        <v>-1389.42</v>
      </c>
      <c r="N477" s="101">
        <f t="shared" si="560"/>
        <v>-1122.7</v>
      </c>
      <c r="O477" s="101">
        <f t="shared" si="560"/>
        <v>-1203.98</v>
      </c>
      <c r="P477" s="101">
        <f>P478</f>
        <v>719.90999999999985</v>
      </c>
      <c r="Q477" s="101">
        <f t="shared" ref="Q477:U480" si="561">Q478</f>
        <v>756.7</v>
      </c>
      <c r="R477" s="101">
        <f t="shared" si="561"/>
        <v>674.68000000000006</v>
      </c>
      <c r="S477" s="101">
        <f t="shared" si="561"/>
        <v>0</v>
      </c>
      <c r="T477" s="101">
        <f t="shared" si="561"/>
        <v>0</v>
      </c>
      <c r="U477" s="101">
        <f t="shared" si="561"/>
        <v>0</v>
      </c>
      <c r="V477" s="101">
        <f t="shared" si="526"/>
        <v>719.90999999999985</v>
      </c>
      <c r="W477" s="101">
        <f t="shared" si="526"/>
        <v>756.7</v>
      </c>
      <c r="X477" s="101">
        <f t="shared" si="526"/>
        <v>674.68000000000006</v>
      </c>
    </row>
    <row r="478" spans="1:24">
      <c r="A478" s="9" t="s">
        <v>83</v>
      </c>
      <c r="B478" s="1" t="s">
        <v>402</v>
      </c>
      <c r="C478" s="1" t="s">
        <v>20</v>
      </c>
      <c r="D478" s="1" t="s">
        <v>18</v>
      </c>
      <c r="E478" s="1" t="s">
        <v>82</v>
      </c>
      <c r="F478" s="1" t="s">
        <v>70</v>
      </c>
      <c r="G478" s="1" t="s">
        <v>148</v>
      </c>
      <c r="H478" s="1" t="s">
        <v>149</v>
      </c>
      <c r="I478" s="13"/>
      <c r="J478" s="81">
        <f t="shared" si="560"/>
        <v>2109.33</v>
      </c>
      <c r="K478" s="81">
        <f t="shared" si="560"/>
        <v>1879.4</v>
      </c>
      <c r="L478" s="81">
        <f t="shared" si="560"/>
        <v>1878.66</v>
      </c>
      <c r="M478" s="81">
        <f t="shared" si="560"/>
        <v>-1389.42</v>
      </c>
      <c r="N478" s="81">
        <f t="shared" si="560"/>
        <v>-1122.7</v>
      </c>
      <c r="O478" s="81">
        <f t="shared" si="560"/>
        <v>-1203.98</v>
      </c>
      <c r="P478" s="81">
        <f>P479</f>
        <v>719.90999999999985</v>
      </c>
      <c r="Q478" s="81">
        <f t="shared" si="561"/>
        <v>756.7</v>
      </c>
      <c r="R478" s="81">
        <f t="shared" si="561"/>
        <v>674.68000000000006</v>
      </c>
      <c r="S478" s="81">
        <f t="shared" si="561"/>
        <v>0</v>
      </c>
      <c r="T478" s="81">
        <f t="shared" si="561"/>
        <v>0</v>
      </c>
      <c r="U478" s="81">
        <f t="shared" si="561"/>
        <v>0</v>
      </c>
      <c r="V478" s="81">
        <f t="shared" si="526"/>
        <v>719.90999999999985</v>
      </c>
      <c r="W478" s="81">
        <f t="shared" si="526"/>
        <v>756.7</v>
      </c>
      <c r="X478" s="81">
        <f t="shared" si="526"/>
        <v>674.68000000000006</v>
      </c>
    </row>
    <row r="479" spans="1:24" ht="38.25">
      <c r="A479" s="9" t="s">
        <v>205</v>
      </c>
      <c r="B479" s="1" t="s">
        <v>402</v>
      </c>
      <c r="C479" s="1" t="s">
        <v>20</v>
      </c>
      <c r="D479" s="1" t="s">
        <v>18</v>
      </c>
      <c r="E479" s="1" t="s">
        <v>82</v>
      </c>
      <c r="F479" s="1" t="s">
        <v>70</v>
      </c>
      <c r="G479" s="1" t="s">
        <v>148</v>
      </c>
      <c r="H479" s="1" t="s">
        <v>204</v>
      </c>
      <c r="I479" s="13"/>
      <c r="J479" s="81">
        <f t="shared" si="560"/>
        <v>2109.33</v>
      </c>
      <c r="K479" s="81">
        <f t="shared" si="560"/>
        <v>1879.4</v>
      </c>
      <c r="L479" s="81">
        <f t="shared" si="560"/>
        <v>1878.66</v>
      </c>
      <c r="M479" s="81">
        <f t="shared" si="560"/>
        <v>-1389.42</v>
      </c>
      <c r="N479" s="81">
        <f t="shared" si="560"/>
        <v>-1122.7</v>
      </c>
      <c r="O479" s="81">
        <f t="shared" si="560"/>
        <v>-1203.98</v>
      </c>
      <c r="P479" s="81">
        <f>P480</f>
        <v>719.90999999999985</v>
      </c>
      <c r="Q479" s="81">
        <f t="shared" si="561"/>
        <v>756.7</v>
      </c>
      <c r="R479" s="81">
        <f t="shared" si="561"/>
        <v>674.68000000000006</v>
      </c>
      <c r="S479" s="81">
        <f t="shared" si="561"/>
        <v>0</v>
      </c>
      <c r="T479" s="81">
        <f t="shared" si="561"/>
        <v>0</v>
      </c>
      <c r="U479" s="81">
        <f t="shared" si="561"/>
        <v>0</v>
      </c>
      <c r="V479" s="81">
        <f t="shared" si="526"/>
        <v>719.90999999999985</v>
      </c>
      <c r="W479" s="81">
        <f t="shared" si="526"/>
        <v>756.7</v>
      </c>
      <c r="X479" s="81">
        <f t="shared" si="526"/>
        <v>674.68000000000006</v>
      </c>
    </row>
    <row r="480" spans="1:24" ht="25.5">
      <c r="A480" s="189" t="s">
        <v>260</v>
      </c>
      <c r="B480" s="1" t="s">
        <v>402</v>
      </c>
      <c r="C480" s="1" t="s">
        <v>20</v>
      </c>
      <c r="D480" s="1" t="s">
        <v>18</v>
      </c>
      <c r="E480" s="1" t="s">
        <v>82</v>
      </c>
      <c r="F480" s="1" t="s">
        <v>70</v>
      </c>
      <c r="G480" s="1" t="s">
        <v>148</v>
      </c>
      <c r="H480" s="1" t="s">
        <v>204</v>
      </c>
      <c r="I480" s="13" t="s">
        <v>94</v>
      </c>
      <c r="J480" s="81">
        <f t="shared" si="560"/>
        <v>2109.33</v>
      </c>
      <c r="K480" s="81">
        <f t="shared" si="560"/>
        <v>1879.4</v>
      </c>
      <c r="L480" s="81">
        <f t="shared" si="560"/>
        <v>1878.66</v>
      </c>
      <c r="M480" s="81">
        <f t="shared" si="560"/>
        <v>-1389.42</v>
      </c>
      <c r="N480" s="81">
        <f t="shared" si="560"/>
        <v>-1122.7</v>
      </c>
      <c r="O480" s="81">
        <f t="shared" si="560"/>
        <v>-1203.98</v>
      </c>
      <c r="P480" s="81">
        <f>P481</f>
        <v>719.90999999999985</v>
      </c>
      <c r="Q480" s="81">
        <f t="shared" si="561"/>
        <v>756.7</v>
      </c>
      <c r="R480" s="81">
        <f t="shared" si="561"/>
        <v>674.68000000000006</v>
      </c>
      <c r="S480" s="81">
        <f t="shared" si="561"/>
        <v>0</v>
      </c>
      <c r="T480" s="81">
        <f t="shared" si="561"/>
        <v>0</v>
      </c>
      <c r="U480" s="81">
        <f t="shared" si="561"/>
        <v>0</v>
      </c>
      <c r="V480" s="81">
        <f t="shared" si="526"/>
        <v>719.90999999999985</v>
      </c>
      <c r="W480" s="81">
        <f t="shared" si="526"/>
        <v>756.7</v>
      </c>
      <c r="X480" s="81">
        <f t="shared" si="526"/>
        <v>674.68000000000006</v>
      </c>
    </row>
    <row r="481" spans="1:24" ht="25.5">
      <c r="A481" s="188" t="s">
        <v>98</v>
      </c>
      <c r="B481" s="1" t="s">
        <v>402</v>
      </c>
      <c r="C481" s="1" t="s">
        <v>20</v>
      </c>
      <c r="D481" s="1" t="s">
        <v>18</v>
      </c>
      <c r="E481" s="1" t="s">
        <v>82</v>
      </c>
      <c r="F481" s="1" t="s">
        <v>70</v>
      </c>
      <c r="G481" s="1" t="s">
        <v>148</v>
      </c>
      <c r="H481" s="1" t="s">
        <v>204</v>
      </c>
      <c r="I481" s="13" t="s">
        <v>95</v>
      </c>
      <c r="J481" s="81">
        <v>2109.33</v>
      </c>
      <c r="K481" s="81">
        <v>1879.4</v>
      </c>
      <c r="L481" s="81">
        <v>1878.66</v>
      </c>
      <c r="M481" s="81">
        <v>-1389.42</v>
      </c>
      <c r="N481" s="81">
        <v>-1122.7</v>
      </c>
      <c r="O481" s="81">
        <v>-1203.98</v>
      </c>
      <c r="P481" s="81">
        <f>P872</f>
        <v>719.90999999999985</v>
      </c>
      <c r="Q481" s="81">
        <f t="shared" ref="Q481:U481" si="562">Q872</f>
        <v>756.7</v>
      </c>
      <c r="R481" s="81">
        <f t="shared" si="562"/>
        <v>674.68000000000006</v>
      </c>
      <c r="S481" s="81">
        <f t="shared" si="562"/>
        <v>0</v>
      </c>
      <c r="T481" s="81">
        <f t="shared" si="562"/>
        <v>0</v>
      </c>
      <c r="U481" s="81">
        <f t="shared" si="562"/>
        <v>0</v>
      </c>
      <c r="V481" s="81">
        <f t="shared" si="526"/>
        <v>719.90999999999985</v>
      </c>
      <c r="W481" s="81">
        <f t="shared" si="526"/>
        <v>756.7</v>
      </c>
      <c r="X481" s="81">
        <f t="shared" si="526"/>
        <v>674.68000000000006</v>
      </c>
    </row>
    <row r="482" spans="1:24">
      <c r="A482" s="188"/>
      <c r="B482" s="1"/>
      <c r="C482" s="1"/>
      <c r="D482" s="1"/>
      <c r="E482" s="1"/>
      <c r="F482" s="1"/>
      <c r="G482" s="1"/>
      <c r="H482" s="1"/>
      <c r="I482" s="13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</row>
    <row r="483" spans="1:24">
      <c r="A483" s="23" t="s">
        <v>1</v>
      </c>
      <c r="B483" s="14" t="s">
        <v>402</v>
      </c>
      <c r="C483" s="14" t="s">
        <v>20</v>
      </c>
      <c r="D483" s="14" t="s">
        <v>49</v>
      </c>
      <c r="E483" s="14"/>
      <c r="F483" s="14"/>
      <c r="G483" s="14"/>
      <c r="H483" s="1"/>
      <c r="I483" s="13"/>
      <c r="J483" s="101">
        <f>J488+J501+J484+J496</f>
        <v>65710818</v>
      </c>
      <c r="K483" s="101">
        <f>K488+K501+K484+K496</f>
        <v>57988823.210000001</v>
      </c>
      <c r="L483" s="101">
        <f>L488+L501+L484+L496</f>
        <v>56645119.049999997</v>
      </c>
      <c r="M483" s="101">
        <f t="shared" ref="M483:O483" si="563">M488+M501+M484+M496</f>
        <v>115000</v>
      </c>
      <c r="N483" s="101">
        <f t="shared" si="563"/>
        <v>0</v>
      </c>
      <c r="O483" s="101">
        <f t="shared" si="563"/>
        <v>0</v>
      </c>
      <c r="P483" s="101">
        <f>P484+P488+P496+P501</f>
        <v>65825818</v>
      </c>
      <c r="Q483" s="101">
        <f t="shared" ref="Q483:R483" si="564">Q484+Q488+Q496+Q501</f>
        <v>57988823.210000001</v>
      </c>
      <c r="R483" s="101">
        <f t="shared" si="564"/>
        <v>56645119.049999997</v>
      </c>
      <c r="S483" s="101">
        <f t="shared" ref="S483:U483" si="565">S488+S501+S484+S496</f>
        <v>1316073.7599999998</v>
      </c>
      <c r="T483" s="101">
        <f t="shared" si="565"/>
        <v>0</v>
      </c>
      <c r="U483" s="101">
        <f t="shared" si="565"/>
        <v>0</v>
      </c>
      <c r="V483" s="101">
        <f t="shared" si="526"/>
        <v>67141891.760000005</v>
      </c>
      <c r="W483" s="101">
        <f t="shared" si="526"/>
        <v>57988823.210000001</v>
      </c>
      <c r="X483" s="101">
        <f t="shared" si="526"/>
        <v>56645119.049999997</v>
      </c>
    </row>
    <row r="484" spans="1:24" ht="38.25">
      <c r="A484" s="9" t="s">
        <v>288</v>
      </c>
      <c r="B484" s="10" t="s">
        <v>402</v>
      </c>
      <c r="C484" s="10" t="s">
        <v>20</v>
      </c>
      <c r="D484" s="1" t="s">
        <v>49</v>
      </c>
      <c r="E484" s="1" t="s">
        <v>13</v>
      </c>
      <c r="F484" s="1" t="s">
        <v>70</v>
      </c>
      <c r="G484" s="1" t="s">
        <v>148</v>
      </c>
      <c r="H484" s="1" t="s">
        <v>149</v>
      </c>
      <c r="I484" s="13"/>
      <c r="J484" s="102">
        <f>J485</f>
        <v>900000</v>
      </c>
      <c r="K484" s="102">
        <f t="shared" ref="K484:O484" si="566">K485</f>
        <v>806400</v>
      </c>
      <c r="L484" s="102">
        <f t="shared" si="566"/>
        <v>806400</v>
      </c>
      <c r="M484" s="102">
        <f t="shared" si="566"/>
        <v>0</v>
      </c>
      <c r="N484" s="102">
        <f t="shared" si="566"/>
        <v>0</v>
      </c>
      <c r="O484" s="102">
        <f t="shared" si="566"/>
        <v>0</v>
      </c>
      <c r="P484" s="102">
        <f>P485</f>
        <v>900000</v>
      </c>
      <c r="Q484" s="102">
        <f t="shared" ref="Q484:U486" si="567">Q485</f>
        <v>806400</v>
      </c>
      <c r="R484" s="102">
        <f t="shared" si="567"/>
        <v>806400</v>
      </c>
      <c r="S484" s="102">
        <f t="shared" si="567"/>
        <v>0</v>
      </c>
      <c r="T484" s="102">
        <f t="shared" si="567"/>
        <v>0</v>
      </c>
      <c r="U484" s="102">
        <f t="shared" si="567"/>
        <v>0</v>
      </c>
      <c r="V484" s="102">
        <f t="shared" si="526"/>
        <v>900000</v>
      </c>
      <c r="W484" s="102">
        <f t="shared" si="526"/>
        <v>806400</v>
      </c>
      <c r="X484" s="102">
        <f t="shared" si="526"/>
        <v>806400</v>
      </c>
    </row>
    <row r="485" spans="1:24" ht="25.5">
      <c r="A485" s="9" t="s">
        <v>79</v>
      </c>
      <c r="B485" s="10" t="s">
        <v>402</v>
      </c>
      <c r="C485" s="1" t="s">
        <v>20</v>
      </c>
      <c r="D485" s="1" t="s">
        <v>49</v>
      </c>
      <c r="E485" s="1" t="s">
        <v>13</v>
      </c>
      <c r="F485" s="1" t="s">
        <v>70</v>
      </c>
      <c r="G485" s="1" t="s">
        <v>148</v>
      </c>
      <c r="H485" s="1" t="s">
        <v>331</v>
      </c>
      <c r="I485" s="13"/>
      <c r="J485" s="81">
        <f>SUM(J486:J486)</f>
        <v>900000</v>
      </c>
      <c r="K485" s="81">
        <f t="shared" ref="K485:O485" si="568">SUM(K486:K486)</f>
        <v>806400</v>
      </c>
      <c r="L485" s="81">
        <f t="shared" si="568"/>
        <v>806400</v>
      </c>
      <c r="M485" s="81">
        <f t="shared" si="568"/>
        <v>0</v>
      </c>
      <c r="N485" s="81">
        <f t="shared" si="568"/>
        <v>0</v>
      </c>
      <c r="O485" s="81">
        <f t="shared" si="568"/>
        <v>0</v>
      </c>
      <c r="P485" s="81">
        <f>P486</f>
        <v>900000</v>
      </c>
      <c r="Q485" s="81">
        <f t="shared" si="567"/>
        <v>806400</v>
      </c>
      <c r="R485" s="81">
        <f t="shared" si="567"/>
        <v>806400</v>
      </c>
      <c r="S485" s="81">
        <f t="shared" ref="S485:U485" si="569">SUM(S486:S486)</f>
        <v>0</v>
      </c>
      <c r="T485" s="81">
        <f t="shared" si="569"/>
        <v>0</v>
      </c>
      <c r="U485" s="81">
        <f t="shared" si="569"/>
        <v>0</v>
      </c>
      <c r="V485" s="81">
        <f t="shared" si="526"/>
        <v>900000</v>
      </c>
      <c r="W485" s="81">
        <f t="shared" si="526"/>
        <v>806400</v>
      </c>
      <c r="X485" s="81">
        <f t="shared" si="526"/>
        <v>806400</v>
      </c>
    </row>
    <row r="486" spans="1:24">
      <c r="A486" s="191" t="s">
        <v>80</v>
      </c>
      <c r="B486" s="10" t="s">
        <v>402</v>
      </c>
      <c r="C486" s="1" t="s">
        <v>20</v>
      </c>
      <c r="D486" s="1" t="s">
        <v>49</v>
      </c>
      <c r="E486" s="1" t="s">
        <v>13</v>
      </c>
      <c r="F486" s="1" t="s">
        <v>70</v>
      </c>
      <c r="G486" s="1" t="s">
        <v>148</v>
      </c>
      <c r="H486" s="1" t="s">
        <v>331</v>
      </c>
      <c r="I486" s="13" t="s">
        <v>77</v>
      </c>
      <c r="J486" s="81">
        <f>J487</f>
        <v>900000</v>
      </c>
      <c r="K486" s="81">
        <f t="shared" ref="K486:O486" si="570">K487</f>
        <v>806400</v>
      </c>
      <c r="L486" s="81">
        <f t="shared" si="570"/>
        <v>806400</v>
      </c>
      <c r="M486" s="81">
        <f t="shared" si="570"/>
        <v>0</v>
      </c>
      <c r="N486" s="81">
        <f t="shared" si="570"/>
        <v>0</v>
      </c>
      <c r="O486" s="81">
        <f t="shared" si="570"/>
        <v>0</v>
      </c>
      <c r="P486" s="81">
        <f>P487</f>
        <v>900000</v>
      </c>
      <c r="Q486" s="81">
        <f t="shared" si="567"/>
        <v>806400</v>
      </c>
      <c r="R486" s="81">
        <f t="shared" si="567"/>
        <v>806400</v>
      </c>
      <c r="S486" s="81">
        <f t="shared" si="567"/>
        <v>0</v>
      </c>
      <c r="T486" s="81">
        <f t="shared" si="567"/>
        <v>0</v>
      </c>
      <c r="U486" s="81">
        <f t="shared" si="567"/>
        <v>0</v>
      </c>
      <c r="V486" s="81">
        <f t="shared" ref="V486:X521" si="571">P486+S486</f>
        <v>900000</v>
      </c>
      <c r="W486" s="81">
        <f t="shared" si="571"/>
        <v>806400</v>
      </c>
      <c r="X486" s="81">
        <f t="shared" si="571"/>
        <v>806400</v>
      </c>
    </row>
    <row r="487" spans="1:24" ht="25.5">
      <c r="A487" s="192" t="s">
        <v>81</v>
      </c>
      <c r="B487" s="10" t="s">
        <v>402</v>
      </c>
      <c r="C487" s="1" t="s">
        <v>20</v>
      </c>
      <c r="D487" s="1" t="s">
        <v>49</v>
      </c>
      <c r="E487" s="1" t="s">
        <v>13</v>
      </c>
      <c r="F487" s="1" t="s">
        <v>70</v>
      </c>
      <c r="G487" s="1" t="s">
        <v>148</v>
      </c>
      <c r="H487" s="1" t="s">
        <v>331</v>
      </c>
      <c r="I487" s="13" t="s">
        <v>78</v>
      </c>
      <c r="J487" s="81">
        <f>702000+198000</f>
        <v>900000</v>
      </c>
      <c r="K487" s="81">
        <f>630000+176400</f>
        <v>806400</v>
      </c>
      <c r="L487" s="81">
        <f>630000+176400</f>
        <v>806400</v>
      </c>
      <c r="M487" s="81"/>
      <c r="N487" s="81"/>
      <c r="O487" s="81"/>
      <c r="P487" s="81">
        <f>P877</f>
        <v>900000</v>
      </c>
      <c r="Q487" s="81">
        <f t="shared" ref="Q487:U487" si="572">Q877</f>
        <v>806400</v>
      </c>
      <c r="R487" s="81">
        <f t="shared" si="572"/>
        <v>806400</v>
      </c>
      <c r="S487" s="81">
        <f t="shared" si="572"/>
        <v>0</v>
      </c>
      <c r="T487" s="81">
        <f t="shared" si="572"/>
        <v>0</v>
      </c>
      <c r="U487" s="81">
        <f t="shared" si="572"/>
        <v>0</v>
      </c>
      <c r="V487" s="81">
        <f t="shared" si="571"/>
        <v>900000</v>
      </c>
      <c r="W487" s="81">
        <f t="shared" si="571"/>
        <v>806400</v>
      </c>
      <c r="X487" s="81">
        <f t="shared" si="571"/>
        <v>806400</v>
      </c>
    </row>
    <row r="488" spans="1:24" ht="38.25">
      <c r="A488" s="9" t="s">
        <v>289</v>
      </c>
      <c r="B488" s="10" t="s">
        <v>402</v>
      </c>
      <c r="C488" s="10" t="s">
        <v>20</v>
      </c>
      <c r="D488" s="10" t="s">
        <v>49</v>
      </c>
      <c r="E488" s="10" t="s">
        <v>27</v>
      </c>
      <c r="F488" s="10" t="s">
        <v>70</v>
      </c>
      <c r="G488" s="10" t="s">
        <v>148</v>
      </c>
      <c r="H488" s="1" t="s">
        <v>149</v>
      </c>
      <c r="I488" s="13"/>
      <c r="J488" s="102">
        <f t="shared" ref="J488:O491" si="573">J489</f>
        <v>2146000</v>
      </c>
      <c r="K488" s="102">
        <f t="shared" si="573"/>
        <v>1500000</v>
      </c>
      <c r="L488" s="102">
        <f t="shared" si="573"/>
        <v>0</v>
      </c>
      <c r="M488" s="102">
        <f t="shared" si="573"/>
        <v>0</v>
      </c>
      <c r="N488" s="102">
        <f t="shared" si="573"/>
        <v>0</v>
      </c>
      <c r="O488" s="102">
        <f t="shared" si="573"/>
        <v>0</v>
      </c>
      <c r="P488" s="102">
        <f>P489</f>
        <v>2146000</v>
      </c>
      <c r="Q488" s="102">
        <f t="shared" ref="Q488:U491" si="574">Q489</f>
        <v>1500000</v>
      </c>
      <c r="R488" s="102">
        <f t="shared" si="574"/>
        <v>0</v>
      </c>
      <c r="S488" s="102">
        <f t="shared" si="574"/>
        <v>0</v>
      </c>
      <c r="T488" s="102">
        <f t="shared" si="574"/>
        <v>0</v>
      </c>
      <c r="U488" s="102">
        <f t="shared" si="574"/>
        <v>0</v>
      </c>
      <c r="V488" s="102">
        <f t="shared" si="571"/>
        <v>2146000</v>
      </c>
      <c r="W488" s="102">
        <f t="shared" si="571"/>
        <v>1500000</v>
      </c>
      <c r="X488" s="102">
        <f t="shared" si="571"/>
        <v>0</v>
      </c>
    </row>
    <row r="489" spans="1:24">
      <c r="A489" s="9" t="s">
        <v>211</v>
      </c>
      <c r="B489" s="10" t="s">
        <v>402</v>
      </c>
      <c r="C489" s="10" t="s">
        <v>20</v>
      </c>
      <c r="D489" s="10" t="s">
        <v>49</v>
      </c>
      <c r="E489" s="10" t="s">
        <v>27</v>
      </c>
      <c r="F489" s="10" t="s">
        <v>44</v>
      </c>
      <c r="G489" s="10" t="s">
        <v>148</v>
      </c>
      <c r="H489" s="1" t="s">
        <v>149</v>
      </c>
      <c r="I489" s="13"/>
      <c r="J489" s="102">
        <f>J490+J493</f>
        <v>2146000</v>
      </c>
      <c r="K489" s="102">
        <f t="shared" ref="K489:O489" si="575">K490+K493</f>
        <v>1500000</v>
      </c>
      <c r="L489" s="102">
        <f t="shared" si="575"/>
        <v>0</v>
      </c>
      <c r="M489" s="102">
        <f t="shared" si="575"/>
        <v>0</v>
      </c>
      <c r="N489" s="102">
        <f t="shared" si="575"/>
        <v>0</v>
      </c>
      <c r="O489" s="102">
        <f t="shared" si="575"/>
        <v>0</v>
      </c>
      <c r="P489" s="102">
        <f>P490+P493</f>
        <v>2146000</v>
      </c>
      <c r="Q489" s="102">
        <f t="shared" ref="Q489:U489" si="576">Q490+Q493</f>
        <v>1500000</v>
      </c>
      <c r="R489" s="102">
        <f t="shared" si="576"/>
        <v>0</v>
      </c>
      <c r="S489" s="102">
        <f t="shared" si="576"/>
        <v>0</v>
      </c>
      <c r="T489" s="102">
        <f t="shared" si="576"/>
        <v>0</v>
      </c>
      <c r="U489" s="102">
        <f t="shared" si="576"/>
        <v>0</v>
      </c>
      <c r="V489" s="102">
        <f t="shared" si="571"/>
        <v>2146000</v>
      </c>
      <c r="W489" s="102">
        <f t="shared" si="571"/>
        <v>1500000</v>
      </c>
      <c r="X489" s="102">
        <f t="shared" si="571"/>
        <v>0</v>
      </c>
    </row>
    <row r="490" spans="1:24" ht="30" customHeight="1">
      <c r="A490" s="9" t="s">
        <v>212</v>
      </c>
      <c r="B490" s="10" t="s">
        <v>402</v>
      </c>
      <c r="C490" s="10" t="s">
        <v>20</v>
      </c>
      <c r="D490" s="10" t="s">
        <v>49</v>
      </c>
      <c r="E490" s="10" t="s">
        <v>27</v>
      </c>
      <c r="F490" s="10" t="s">
        <v>44</v>
      </c>
      <c r="G490" s="10" t="s">
        <v>148</v>
      </c>
      <c r="H490" s="1" t="s">
        <v>213</v>
      </c>
      <c r="I490" s="13"/>
      <c r="J490" s="102">
        <f t="shared" si="573"/>
        <v>1500000</v>
      </c>
      <c r="K490" s="102">
        <f t="shared" si="573"/>
        <v>1500000</v>
      </c>
      <c r="L490" s="102">
        <f t="shared" si="573"/>
        <v>0</v>
      </c>
      <c r="M490" s="102">
        <f t="shared" si="573"/>
        <v>0</v>
      </c>
      <c r="N490" s="102">
        <f t="shared" si="573"/>
        <v>0</v>
      </c>
      <c r="O490" s="102">
        <f t="shared" si="573"/>
        <v>0</v>
      </c>
      <c r="P490" s="102">
        <f>P491</f>
        <v>1500000</v>
      </c>
      <c r="Q490" s="102">
        <f t="shared" ref="Q490:R491" si="577">Q491</f>
        <v>1500000</v>
      </c>
      <c r="R490" s="102">
        <f t="shared" si="577"/>
        <v>0</v>
      </c>
      <c r="S490" s="102">
        <f t="shared" si="574"/>
        <v>0</v>
      </c>
      <c r="T490" s="102">
        <f t="shared" si="574"/>
        <v>0</v>
      </c>
      <c r="U490" s="102">
        <f t="shared" si="574"/>
        <v>0</v>
      </c>
      <c r="V490" s="102">
        <f t="shared" si="571"/>
        <v>1500000</v>
      </c>
      <c r="W490" s="102">
        <f t="shared" si="571"/>
        <v>1500000</v>
      </c>
      <c r="X490" s="102">
        <f t="shared" si="571"/>
        <v>0</v>
      </c>
    </row>
    <row r="491" spans="1:24" ht="25.5">
      <c r="A491" s="189" t="s">
        <v>260</v>
      </c>
      <c r="B491" s="10" t="s">
        <v>402</v>
      </c>
      <c r="C491" s="10" t="s">
        <v>20</v>
      </c>
      <c r="D491" s="10" t="s">
        <v>49</v>
      </c>
      <c r="E491" s="10" t="s">
        <v>27</v>
      </c>
      <c r="F491" s="10" t="s">
        <v>44</v>
      </c>
      <c r="G491" s="10" t="s">
        <v>148</v>
      </c>
      <c r="H491" s="1" t="s">
        <v>213</v>
      </c>
      <c r="I491" s="13" t="s">
        <v>94</v>
      </c>
      <c r="J491" s="102">
        <f t="shared" si="573"/>
        <v>1500000</v>
      </c>
      <c r="K491" s="102">
        <f t="shared" si="573"/>
        <v>1500000</v>
      </c>
      <c r="L491" s="102">
        <f t="shared" si="573"/>
        <v>0</v>
      </c>
      <c r="M491" s="102">
        <f t="shared" si="573"/>
        <v>0</v>
      </c>
      <c r="N491" s="102">
        <f t="shared" si="573"/>
        <v>0</v>
      </c>
      <c r="O491" s="102">
        <f t="shared" si="573"/>
        <v>0</v>
      </c>
      <c r="P491" s="102">
        <f>P492</f>
        <v>1500000</v>
      </c>
      <c r="Q491" s="102">
        <f t="shared" si="577"/>
        <v>1500000</v>
      </c>
      <c r="R491" s="102">
        <f t="shared" si="577"/>
        <v>0</v>
      </c>
      <c r="S491" s="102">
        <f t="shared" si="574"/>
        <v>0</v>
      </c>
      <c r="T491" s="102">
        <f t="shared" si="574"/>
        <v>0</v>
      </c>
      <c r="U491" s="102">
        <f t="shared" si="574"/>
        <v>0</v>
      </c>
      <c r="V491" s="102">
        <f t="shared" si="571"/>
        <v>1500000</v>
      </c>
      <c r="W491" s="102">
        <f t="shared" si="571"/>
        <v>1500000</v>
      </c>
      <c r="X491" s="102">
        <f t="shared" si="571"/>
        <v>0</v>
      </c>
    </row>
    <row r="492" spans="1:24" ht="25.5">
      <c r="A492" s="188" t="s">
        <v>98</v>
      </c>
      <c r="B492" s="10" t="s">
        <v>402</v>
      </c>
      <c r="C492" s="10" t="s">
        <v>20</v>
      </c>
      <c r="D492" s="10" t="s">
        <v>49</v>
      </c>
      <c r="E492" s="10" t="s">
        <v>27</v>
      </c>
      <c r="F492" s="10" t="s">
        <v>44</v>
      </c>
      <c r="G492" s="10" t="s">
        <v>148</v>
      </c>
      <c r="H492" s="1" t="s">
        <v>213</v>
      </c>
      <c r="I492" s="13" t="s">
        <v>95</v>
      </c>
      <c r="J492" s="102">
        <v>1500000</v>
      </c>
      <c r="K492" s="102">
        <v>1500000</v>
      </c>
      <c r="L492" s="102"/>
      <c r="M492" s="102"/>
      <c r="N492" s="102"/>
      <c r="O492" s="102"/>
      <c r="P492" s="102">
        <f>P882+P1676</f>
        <v>1500000</v>
      </c>
      <c r="Q492" s="102">
        <f t="shared" ref="Q492:U492" si="578">Q882+Q1676</f>
        <v>1500000</v>
      </c>
      <c r="R492" s="102">
        <f t="shared" si="578"/>
        <v>0</v>
      </c>
      <c r="S492" s="102">
        <f t="shared" si="578"/>
        <v>0</v>
      </c>
      <c r="T492" s="102">
        <f t="shared" si="578"/>
        <v>0</v>
      </c>
      <c r="U492" s="102">
        <f t="shared" si="578"/>
        <v>0</v>
      </c>
      <c r="V492" s="102">
        <f t="shared" si="571"/>
        <v>1500000</v>
      </c>
      <c r="W492" s="102">
        <f t="shared" si="571"/>
        <v>1500000</v>
      </c>
      <c r="X492" s="102">
        <f t="shared" si="571"/>
        <v>0</v>
      </c>
    </row>
    <row r="493" spans="1:24" ht="25.5">
      <c r="A493" s="209" t="s">
        <v>312</v>
      </c>
      <c r="B493" s="10" t="s">
        <v>402</v>
      </c>
      <c r="C493" s="10" t="s">
        <v>20</v>
      </c>
      <c r="D493" s="10" t="s">
        <v>49</v>
      </c>
      <c r="E493" s="10" t="s">
        <v>27</v>
      </c>
      <c r="F493" s="10" t="s">
        <v>44</v>
      </c>
      <c r="G493" s="10" t="s">
        <v>148</v>
      </c>
      <c r="H493" s="1" t="s">
        <v>311</v>
      </c>
      <c r="I493" s="13"/>
      <c r="J493" s="102">
        <f>J494</f>
        <v>646000</v>
      </c>
      <c r="K493" s="102">
        <f t="shared" ref="K493:O494" si="579">K494</f>
        <v>0</v>
      </c>
      <c r="L493" s="102">
        <f t="shared" si="579"/>
        <v>0</v>
      </c>
      <c r="M493" s="102">
        <f t="shared" si="579"/>
        <v>0</v>
      </c>
      <c r="N493" s="102">
        <f t="shared" si="579"/>
        <v>0</v>
      </c>
      <c r="O493" s="102">
        <f t="shared" si="579"/>
        <v>0</v>
      </c>
      <c r="P493" s="102">
        <f>P494</f>
        <v>646000</v>
      </c>
      <c r="Q493" s="102">
        <f t="shared" ref="Q493:U494" si="580">Q494</f>
        <v>0</v>
      </c>
      <c r="R493" s="102">
        <f t="shared" si="580"/>
        <v>0</v>
      </c>
      <c r="S493" s="102">
        <f t="shared" si="580"/>
        <v>0</v>
      </c>
      <c r="T493" s="102">
        <f t="shared" si="580"/>
        <v>0</v>
      </c>
      <c r="U493" s="102">
        <f t="shared" si="580"/>
        <v>0</v>
      </c>
      <c r="V493" s="102">
        <f t="shared" si="571"/>
        <v>646000</v>
      </c>
      <c r="W493" s="102">
        <f t="shared" si="571"/>
        <v>0</v>
      </c>
      <c r="X493" s="102">
        <f t="shared" si="571"/>
        <v>0</v>
      </c>
    </row>
    <row r="494" spans="1:24" ht="25.5">
      <c r="A494" s="189" t="s">
        <v>260</v>
      </c>
      <c r="B494" s="10" t="s">
        <v>402</v>
      </c>
      <c r="C494" s="10" t="s">
        <v>20</v>
      </c>
      <c r="D494" s="10" t="s">
        <v>49</v>
      </c>
      <c r="E494" s="10" t="s">
        <v>27</v>
      </c>
      <c r="F494" s="10" t="s">
        <v>44</v>
      </c>
      <c r="G494" s="10" t="s">
        <v>148</v>
      </c>
      <c r="H494" s="1" t="s">
        <v>311</v>
      </c>
      <c r="I494" s="13" t="s">
        <v>94</v>
      </c>
      <c r="J494" s="102">
        <f>J495</f>
        <v>646000</v>
      </c>
      <c r="K494" s="102">
        <f t="shared" si="579"/>
        <v>0</v>
      </c>
      <c r="L494" s="102">
        <f t="shared" si="579"/>
        <v>0</v>
      </c>
      <c r="M494" s="102">
        <f t="shared" si="579"/>
        <v>0</v>
      </c>
      <c r="N494" s="102">
        <f t="shared" si="579"/>
        <v>0</v>
      </c>
      <c r="O494" s="102">
        <f t="shared" si="579"/>
        <v>0</v>
      </c>
      <c r="P494" s="102">
        <f>P495</f>
        <v>646000</v>
      </c>
      <c r="Q494" s="102">
        <f t="shared" si="580"/>
        <v>0</v>
      </c>
      <c r="R494" s="102">
        <f t="shared" si="580"/>
        <v>0</v>
      </c>
      <c r="S494" s="102">
        <f t="shared" si="580"/>
        <v>0</v>
      </c>
      <c r="T494" s="102">
        <f t="shared" si="580"/>
        <v>0</v>
      </c>
      <c r="U494" s="102">
        <f t="shared" si="580"/>
        <v>0</v>
      </c>
      <c r="V494" s="102">
        <f t="shared" si="571"/>
        <v>646000</v>
      </c>
      <c r="W494" s="102">
        <f t="shared" si="571"/>
        <v>0</v>
      </c>
      <c r="X494" s="102">
        <f t="shared" si="571"/>
        <v>0</v>
      </c>
    </row>
    <row r="495" spans="1:24" ht="25.5">
      <c r="A495" s="188" t="s">
        <v>98</v>
      </c>
      <c r="B495" s="10" t="s">
        <v>402</v>
      </c>
      <c r="C495" s="10" t="s">
        <v>20</v>
      </c>
      <c r="D495" s="10" t="s">
        <v>49</v>
      </c>
      <c r="E495" s="10" t="s">
        <v>27</v>
      </c>
      <c r="F495" s="10" t="s">
        <v>44</v>
      </c>
      <c r="G495" s="10" t="s">
        <v>148</v>
      </c>
      <c r="H495" s="1" t="s">
        <v>311</v>
      </c>
      <c r="I495" s="13" t="s">
        <v>95</v>
      </c>
      <c r="J495" s="102">
        <v>646000</v>
      </c>
      <c r="K495" s="102"/>
      <c r="L495" s="102"/>
      <c r="M495" s="102"/>
      <c r="N495" s="102"/>
      <c r="O495" s="102"/>
      <c r="P495" s="102">
        <f>P1347+P1411</f>
        <v>646000</v>
      </c>
      <c r="Q495" s="102">
        <f t="shared" ref="Q495:U495" si="581">Q1347+Q1411</f>
        <v>0</v>
      </c>
      <c r="R495" s="102">
        <f t="shared" si="581"/>
        <v>0</v>
      </c>
      <c r="S495" s="102">
        <f t="shared" si="581"/>
        <v>0</v>
      </c>
      <c r="T495" s="102">
        <f t="shared" si="581"/>
        <v>0</v>
      </c>
      <c r="U495" s="102">
        <f t="shared" si="581"/>
        <v>0</v>
      </c>
      <c r="V495" s="102">
        <f t="shared" si="571"/>
        <v>646000</v>
      </c>
      <c r="W495" s="102">
        <f t="shared" si="571"/>
        <v>0</v>
      </c>
      <c r="X495" s="102">
        <f t="shared" si="571"/>
        <v>0</v>
      </c>
    </row>
    <row r="496" spans="1:24" ht="38.25">
      <c r="A496" s="190" t="s">
        <v>294</v>
      </c>
      <c r="B496" s="3" t="s">
        <v>402</v>
      </c>
      <c r="C496" s="3" t="s">
        <v>20</v>
      </c>
      <c r="D496" s="3" t="s">
        <v>49</v>
      </c>
      <c r="E496" s="1" t="s">
        <v>19</v>
      </c>
      <c r="F496" s="1" t="s">
        <v>70</v>
      </c>
      <c r="G496" s="1" t="s">
        <v>148</v>
      </c>
      <c r="H496" s="3" t="s">
        <v>149</v>
      </c>
      <c r="I496" s="16"/>
      <c r="J496" s="81">
        <f>J497</f>
        <v>5574000</v>
      </c>
      <c r="K496" s="81">
        <f t="shared" ref="K496:O499" si="582">K497</f>
        <v>0</v>
      </c>
      <c r="L496" s="81">
        <f t="shared" si="582"/>
        <v>0</v>
      </c>
      <c r="M496" s="81">
        <f t="shared" si="582"/>
        <v>0</v>
      </c>
      <c r="N496" s="81">
        <f t="shared" si="582"/>
        <v>0</v>
      </c>
      <c r="O496" s="81">
        <f t="shared" si="582"/>
        <v>0</v>
      </c>
      <c r="P496" s="81">
        <f>P497</f>
        <v>5573999.9999999991</v>
      </c>
      <c r="Q496" s="81">
        <f t="shared" ref="Q496:U499" si="583">Q497</f>
        <v>0</v>
      </c>
      <c r="R496" s="81">
        <f t="shared" si="583"/>
        <v>0</v>
      </c>
      <c r="S496" s="81">
        <f t="shared" si="583"/>
        <v>1226279.9999999998</v>
      </c>
      <c r="T496" s="81">
        <f t="shared" si="583"/>
        <v>0</v>
      </c>
      <c r="U496" s="81">
        <f t="shared" si="583"/>
        <v>0</v>
      </c>
      <c r="V496" s="81">
        <f t="shared" si="571"/>
        <v>6800279.9999999991</v>
      </c>
      <c r="W496" s="81">
        <f t="shared" si="571"/>
        <v>0</v>
      </c>
      <c r="X496" s="81">
        <f t="shared" si="571"/>
        <v>0</v>
      </c>
    </row>
    <row r="497" spans="1:24" ht="25.5">
      <c r="A497" s="190" t="s">
        <v>296</v>
      </c>
      <c r="B497" s="3" t="s">
        <v>402</v>
      </c>
      <c r="C497" s="3" t="s">
        <v>20</v>
      </c>
      <c r="D497" s="3" t="s">
        <v>49</v>
      </c>
      <c r="E497" s="1" t="s">
        <v>19</v>
      </c>
      <c r="F497" s="1" t="s">
        <v>127</v>
      </c>
      <c r="G497" s="1" t="s">
        <v>148</v>
      </c>
      <c r="H497" s="3" t="s">
        <v>149</v>
      </c>
      <c r="I497" s="16"/>
      <c r="J497" s="81">
        <f>J498</f>
        <v>5574000</v>
      </c>
      <c r="K497" s="81">
        <f t="shared" si="582"/>
        <v>0</v>
      </c>
      <c r="L497" s="81">
        <f t="shared" si="582"/>
        <v>0</v>
      </c>
      <c r="M497" s="81">
        <f t="shared" si="582"/>
        <v>0</v>
      </c>
      <c r="N497" s="81">
        <f t="shared" si="582"/>
        <v>0</v>
      </c>
      <c r="O497" s="81">
        <f t="shared" si="582"/>
        <v>0</v>
      </c>
      <c r="P497" s="81">
        <f>P498</f>
        <v>5573999.9999999991</v>
      </c>
      <c r="Q497" s="81">
        <f t="shared" si="583"/>
        <v>0</v>
      </c>
      <c r="R497" s="81">
        <f t="shared" si="583"/>
        <v>0</v>
      </c>
      <c r="S497" s="81">
        <f t="shared" si="583"/>
        <v>1226279.9999999998</v>
      </c>
      <c r="T497" s="81">
        <f t="shared" si="583"/>
        <v>0</v>
      </c>
      <c r="U497" s="81">
        <f t="shared" si="583"/>
        <v>0</v>
      </c>
      <c r="V497" s="81">
        <f t="shared" si="571"/>
        <v>6800279.9999999991</v>
      </c>
      <c r="W497" s="81">
        <f t="shared" si="571"/>
        <v>0</v>
      </c>
      <c r="X497" s="81">
        <f t="shared" si="571"/>
        <v>0</v>
      </c>
    </row>
    <row r="498" spans="1:24" ht="51">
      <c r="A498" s="190" t="s">
        <v>299</v>
      </c>
      <c r="B498" s="3" t="s">
        <v>402</v>
      </c>
      <c r="C498" s="3" t="s">
        <v>20</v>
      </c>
      <c r="D498" s="3" t="s">
        <v>49</v>
      </c>
      <c r="E498" s="1" t="s">
        <v>19</v>
      </c>
      <c r="F498" s="1" t="s">
        <v>127</v>
      </c>
      <c r="G498" s="1" t="s">
        <v>148</v>
      </c>
      <c r="H498" s="3" t="s">
        <v>298</v>
      </c>
      <c r="I498" s="16"/>
      <c r="J498" s="81">
        <f>J499</f>
        <v>5574000</v>
      </c>
      <c r="K498" s="81">
        <f t="shared" si="582"/>
        <v>0</v>
      </c>
      <c r="L498" s="81">
        <f t="shared" si="582"/>
        <v>0</v>
      </c>
      <c r="M498" s="81">
        <f t="shared" si="582"/>
        <v>0</v>
      </c>
      <c r="N498" s="81">
        <f t="shared" si="582"/>
        <v>0</v>
      </c>
      <c r="O498" s="81">
        <f t="shared" si="582"/>
        <v>0</v>
      </c>
      <c r="P498" s="81">
        <f>P499</f>
        <v>5573999.9999999991</v>
      </c>
      <c r="Q498" s="81">
        <f t="shared" si="583"/>
        <v>0</v>
      </c>
      <c r="R498" s="81">
        <f t="shared" si="583"/>
        <v>0</v>
      </c>
      <c r="S498" s="81">
        <f t="shared" si="583"/>
        <v>1226279.9999999998</v>
      </c>
      <c r="T498" s="81">
        <f t="shared" si="583"/>
        <v>0</v>
      </c>
      <c r="U498" s="81">
        <f t="shared" si="583"/>
        <v>0</v>
      </c>
      <c r="V498" s="81">
        <f t="shared" si="571"/>
        <v>6800279.9999999991</v>
      </c>
      <c r="W498" s="81">
        <f t="shared" si="571"/>
        <v>0</v>
      </c>
      <c r="X498" s="81">
        <f t="shared" si="571"/>
        <v>0</v>
      </c>
    </row>
    <row r="499" spans="1:24">
      <c r="A499" s="9" t="s">
        <v>100</v>
      </c>
      <c r="B499" s="3" t="s">
        <v>402</v>
      </c>
      <c r="C499" s="3" t="s">
        <v>20</v>
      </c>
      <c r="D499" s="3" t="s">
        <v>49</v>
      </c>
      <c r="E499" s="1" t="s">
        <v>19</v>
      </c>
      <c r="F499" s="1" t="s">
        <v>127</v>
      </c>
      <c r="G499" s="1" t="s">
        <v>148</v>
      </c>
      <c r="H499" s="3" t="s">
        <v>298</v>
      </c>
      <c r="I499" s="16" t="s">
        <v>99</v>
      </c>
      <c r="J499" s="81">
        <f>J500</f>
        <v>5574000</v>
      </c>
      <c r="K499" s="81">
        <f t="shared" si="582"/>
        <v>0</v>
      </c>
      <c r="L499" s="81">
        <f t="shared" si="582"/>
        <v>0</v>
      </c>
      <c r="M499" s="81">
        <f t="shared" si="582"/>
        <v>0</v>
      </c>
      <c r="N499" s="81">
        <f t="shared" si="582"/>
        <v>0</v>
      </c>
      <c r="O499" s="81">
        <f t="shared" si="582"/>
        <v>0</v>
      </c>
      <c r="P499" s="81">
        <f>P500</f>
        <v>5573999.9999999991</v>
      </c>
      <c r="Q499" s="81">
        <f t="shared" si="583"/>
        <v>0</v>
      </c>
      <c r="R499" s="81">
        <f t="shared" si="583"/>
        <v>0</v>
      </c>
      <c r="S499" s="81">
        <f t="shared" si="583"/>
        <v>1226279.9999999998</v>
      </c>
      <c r="T499" s="81">
        <f t="shared" si="583"/>
        <v>0</v>
      </c>
      <c r="U499" s="81">
        <f t="shared" si="583"/>
        <v>0</v>
      </c>
      <c r="V499" s="81">
        <f t="shared" si="571"/>
        <v>6800279.9999999991</v>
      </c>
      <c r="W499" s="81">
        <f t="shared" si="571"/>
        <v>0</v>
      </c>
      <c r="X499" s="81">
        <f t="shared" si="571"/>
        <v>0</v>
      </c>
    </row>
    <row r="500" spans="1:24" ht="25.5">
      <c r="A500" s="9" t="s">
        <v>106</v>
      </c>
      <c r="B500" s="3" t="s">
        <v>402</v>
      </c>
      <c r="C500" s="3" t="s">
        <v>20</v>
      </c>
      <c r="D500" s="3" t="s">
        <v>49</v>
      </c>
      <c r="E500" s="1" t="s">
        <v>19</v>
      </c>
      <c r="F500" s="1" t="s">
        <v>127</v>
      </c>
      <c r="G500" s="1" t="s">
        <v>148</v>
      </c>
      <c r="H500" s="3" t="s">
        <v>298</v>
      </c>
      <c r="I500" s="16" t="s">
        <v>107</v>
      </c>
      <c r="J500" s="81">
        <v>5574000</v>
      </c>
      <c r="K500" s="81"/>
      <c r="L500" s="81"/>
      <c r="M500" s="81"/>
      <c r="N500" s="81"/>
      <c r="O500" s="81"/>
      <c r="P500" s="81">
        <f>P887+P1164+P1232+P1283+P1521</f>
        <v>5573999.9999999991</v>
      </c>
      <c r="Q500" s="81">
        <f t="shared" ref="Q500:U500" si="584">Q887+Q1164+Q1232+Q1283+Q1521</f>
        <v>0</v>
      </c>
      <c r="R500" s="81">
        <f t="shared" si="584"/>
        <v>0</v>
      </c>
      <c r="S500" s="81">
        <f t="shared" si="584"/>
        <v>1226279.9999999998</v>
      </c>
      <c r="T500" s="81">
        <f t="shared" si="584"/>
        <v>0</v>
      </c>
      <c r="U500" s="81">
        <f t="shared" si="584"/>
        <v>0</v>
      </c>
      <c r="V500" s="81">
        <f t="shared" si="571"/>
        <v>6800279.9999999991</v>
      </c>
      <c r="W500" s="81">
        <f t="shared" si="571"/>
        <v>0</v>
      </c>
      <c r="X500" s="81">
        <f t="shared" si="571"/>
        <v>0</v>
      </c>
    </row>
    <row r="501" spans="1:24">
      <c r="A501" s="9" t="s">
        <v>83</v>
      </c>
      <c r="B501" s="1" t="s">
        <v>402</v>
      </c>
      <c r="C501" s="1" t="s">
        <v>20</v>
      </c>
      <c r="D501" s="1" t="s">
        <v>49</v>
      </c>
      <c r="E501" s="1" t="s">
        <v>82</v>
      </c>
      <c r="F501" s="1" t="s">
        <v>70</v>
      </c>
      <c r="G501" s="1" t="s">
        <v>148</v>
      </c>
      <c r="H501" s="1" t="s">
        <v>149</v>
      </c>
      <c r="I501" s="13"/>
      <c r="J501" s="81">
        <f>+J502+J515+J512</f>
        <v>57090818</v>
      </c>
      <c r="K501" s="81">
        <f t="shared" ref="K501:O501" si="585">+K502+K515+K512</f>
        <v>55682423.210000001</v>
      </c>
      <c r="L501" s="81">
        <f t="shared" si="585"/>
        <v>55838719.049999997</v>
      </c>
      <c r="M501" s="81">
        <f t="shared" si="585"/>
        <v>115000</v>
      </c>
      <c r="N501" s="81">
        <f t="shared" si="585"/>
        <v>0</v>
      </c>
      <c r="O501" s="81">
        <f t="shared" si="585"/>
        <v>0</v>
      </c>
      <c r="P501" s="81">
        <f>P502+P509+P512+P515</f>
        <v>57205818</v>
      </c>
      <c r="Q501" s="81">
        <f t="shared" ref="Q501:R501" si="586">Q502+Q509+Q512+Q515</f>
        <v>55682423.210000001</v>
      </c>
      <c r="R501" s="81">
        <f t="shared" si="586"/>
        <v>55838719.049999997</v>
      </c>
      <c r="S501" s="81">
        <f>+S502+S515+S512+S509</f>
        <v>89793.76</v>
      </c>
      <c r="T501" s="81">
        <f t="shared" ref="T501:U501" si="587">+T502+T515+T512+T509</f>
        <v>0</v>
      </c>
      <c r="U501" s="81">
        <f t="shared" si="587"/>
        <v>0</v>
      </c>
      <c r="V501" s="81">
        <f t="shared" si="571"/>
        <v>57295611.759999998</v>
      </c>
      <c r="W501" s="81">
        <f t="shared" si="571"/>
        <v>55682423.210000001</v>
      </c>
      <c r="X501" s="81">
        <f t="shared" si="571"/>
        <v>55838719.049999997</v>
      </c>
    </row>
    <row r="502" spans="1:24">
      <c r="A502" s="9" t="s">
        <v>91</v>
      </c>
      <c r="B502" s="3" t="s">
        <v>402</v>
      </c>
      <c r="C502" s="3" t="s">
        <v>20</v>
      </c>
      <c r="D502" s="3" t="s">
        <v>49</v>
      </c>
      <c r="E502" s="1" t="s">
        <v>82</v>
      </c>
      <c r="F502" s="1" t="s">
        <v>70</v>
      </c>
      <c r="G502" s="1" t="s">
        <v>148</v>
      </c>
      <c r="H502" s="3" t="s">
        <v>177</v>
      </c>
      <c r="I502" s="16"/>
      <c r="J502" s="81">
        <f>J503+J505+J507</f>
        <v>54938418</v>
      </c>
      <c r="K502" s="81">
        <f t="shared" ref="K502:O502" si="588">K503+K505+K507</f>
        <v>55682423.210000001</v>
      </c>
      <c r="L502" s="81">
        <f t="shared" si="588"/>
        <v>55838719.049999997</v>
      </c>
      <c r="M502" s="81">
        <f t="shared" si="588"/>
        <v>0</v>
      </c>
      <c r="N502" s="81">
        <f t="shared" si="588"/>
        <v>0</v>
      </c>
      <c r="O502" s="81">
        <f t="shared" si="588"/>
        <v>0</v>
      </c>
      <c r="P502" s="81">
        <f>P503+P505+P507</f>
        <v>54938418</v>
      </c>
      <c r="Q502" s="81">
        <f t="shared" ref="Q502:U502" si="589">Q503+Q505+Q507</f>
        <v>55682423.210000001</v>
      </c>
      <c r="R502" s="81">
        <f t="shared" si="589"/>
        <v>55838719.049999997</v>
      </c>
      <c r="S502" s="81">
        <f t="shared" si="589"/>
        <v>0</v>
      </c>
      <c r="T502" s="81">
        <f t="shared" si="589"/>
        <v>0</v>
      </c>
      <c r="U502" s="81">
        <f t="shared" si="589"/>
        <v>0</v>
      </c>
      <c r="V502" s="81">
        <f t="shared" si="571"/>
        <v>54938418</v>
      </c>
      <c r="W502" s="81">
        <f t="shared" si="571"/>
        <v>55682423.210000001</v>
      </c>
      <c r="X502" s="81">
        <f t="shared" si="571"/>
        <v>55838719.049999997</v>
      </c>
    </row>
    <row r="503" spans="1:24" ht="38.25">
      <c r="A503" s="188" t="s">
        <v>96</v>
      </c>
      <c r="B503" s="3" t="s">
        <v>402</v>
      </c>
      <c r="C503" s="3" t="s">
        <v>20</v>
      </c>
      <c r="D503" s="3" t="s">
        <v>49</v>
      </c>
      <c r="E503" s="1" t="s">
        <v>82</v>
      </c>
      <c r="F503" s="1" t="s">
        <v>70</v>
      </c>
      <c r="G503" s="1" t="s">
        <v>148</v>
      </c>
      <c r="H503" s="3" t="s">
        <v>177</v>
      </c>
      <c r="I503" s="16" t="s">
        <v>92</v>
      </c>
      <c r="J503" s="81">
        <f>J504</f>
        <v>44628700</v>
      </c>
      <c r="K503" s="81">
        <f t="shared" ref="K503:O503" si="590">K504</f>
        <v>45076036.490000002</v>
      </c>
      <c r="L503" s="81">
        <f t="shared" si="590"/>
        <v>45423796.859999999</v>
      </c>
      <c r="M503" s="81">
        <f t="shared" si="590"/>
        <v>0</v>
      </c>
      <c r="N503" s="81">
        <f t="shared" si="590"/>
        <v>0</v>
      </c>
      <c r="O503" s="81">
        <f t="shared" si="590"/>
        <v>0</v>
      </c>
      <c r="P503" s="81">
        <f>P504</f>
        <v>44628700</v>
      </c>
      <c r="Q503" s="81">
        <f t="shared" ref="Q503:U503" si="591">Q504</f>
        <v>45076036.490000002</v>
      </c>
      <c r="R503" s="81">
        <f t="shared" si="591"/>
        <v>45423796.859999999</v>
      </c>
      <c r="S503" s="81">
        <f t="shared" si="591"/>
        <v>0</v>
      </c>
      <c r="T503" s="81">
        <f t="shared" si="591"/>
        <v>0</v>
      </c>
      <c r="U503" s="81">
        <f t="shared" si="591"/>
        <v>0</v>
      </c>
      <c r="V503" s="81">
        <f t="shared" si="571"/>
        <v>44628700</v>
      </c>
      <c r="W503" s="81">
        <f t="shared" si="571"/>
        <v>45076036.490000002</v>
      </c>
      <c r="X503" s="81">
        <f t="shared" si="571"/>
        <v>45423796.859999999</v>
      </c>
    </row>
    <row r="504" spans="1:24">
      <c r="A504" s="188" t="s">
        <v>97</v>
      </c>
      <c r="B504" s="3" t="s">
        <v>402</v>
      </c>
      <c r="C504" s="3" t="s">
        <v>20</v>
      </c>
      <c r="D504" s="3" t="s">
        <v>49</v>
      </c>
      <c r="E504" s="1" t="s">
        <v>82</v>
      </c>
      <c r="F504" s="1" t="s">
        <v>70</v>
      </c>
      <c r="G504" s="1" t="s">
        <v>148</v>
      </c>
      <c r="H504" s="3" t="s">
        <v>177</v>
      </c>
      <c r="I504" s="16" t="s">
        <v>93</v>
      </c>
      <c r="J504" s="81">
        <v>44628700</v>
      </c>
      <c r="K504" s="81">
        <v>45076036.490000002</v>
      </c>
      <c r="L504" s="81">
        <v>45423796.859999999</v>
      </c>
      <c r="M504" s="81"/>
      <c r="N504" s="81"/>
      <c r="O504" s="81"/>
      <c r="P504" s="81">
        <f>P1680</f>
        <v>44628700</v>
      </c>
      <c r="Q504" s="81">
        <f t="shared" ref="Q504:U504" si="592">Q1680</f>
        <v>45076036.490000002</v>
      </c>
      <c r="R504" s="81">
        <f t="shared" si="592"/>
        <v>45423796.859999999</v>
      </c>
      <c r="S504" s="81">
        <f t="shared" si="592"/>
        <v>0</v>
      </c>
      <c r="T504" s="81">
        <f t="shared" si="592"/>
        <v>0</v>
      </c>
      <c r="U504" s="81">
        <f t="shared" si="592"/>
        <v>0</v>
      </c>
      <c r="V504" s="81">
        <f t="shared" si="571"/>
        <v>44628700</v>
      </c>
      <c r="W504" s="81">
        <f t="shared" si="571"/>
        <v>45076036.490000002</v>
      </c>
      <c r="X504" s="81">
        <f t="shared" si="571"/>
        <v>45423796.859999999</v>
      </c>
    </row>
    <row r="505" spans="1:24" ht="25.5">
      <c r="A505" s="189" t="s">
        <v>260</v>
      </c>
      <c r="B505" s="3" t="s">
        <v>402</v>
      </c>
      <c r="C505" s="3" t="s">
        <v>20</v>
      </c>
      <c r="D505" s="3" t="s">
        <v>49</v>
      </c>
      <c r="E505" s="1" t="s">
        <v>82</v>
      </c>
      <c r="F505" s="1" t="s">
        <v>70</v>
      </c>
      <c r="G505" s="1" t="s">
        <v>148</v>
      </c>
      <c r="H505" s="3" t="s">
        <v>177</v>
      </c>
      <c r="I505" s="16" t="s">
        <v>94</v>
      </c>
      <c r="J505" s="81">
        <f>J506</f>
        <v>10274718</v>
      </c>
      <c r="K505" s="81">
        <f t="shared" ref="K505:O505" si="593">K506</f>
        <v>10571386.720000001</v>
      </c>
      <c r="L505" s="81">
        <f t="shared" si="593"/>
        <v>10379922.189999999</v>
      </c>
      <c r="M505" s="81">
        <f t="shared" si="593"/>
        <v>0</v>
      </c>
      <c r="N505" s="81">
        <f t="shared" si="593"/>
        <v>0</v>
      </c>
      <c r="O505" s="81">
        <f t="shared" si="593"/>
        <v>0</v>
      </c>
      <c r="P505" s="81">
        <f>P506</f>
        <v>10274718</v>
      </c>
      <c r="Q505" s="81">
        <f t="shared" ref="Q505:U505" si="594">Q506</f>
        <v>10571386.720000001</v>
      </c>
      <c r="R505" s="81">
        <f t="shared" si="594"/>
        <v>10379922.189999999</v>
      </c>
      <c r="S505" s="81">
        <f t="shared" si="594"/>
        <v>0</v>
      </c>
      <c r="T505" s="81">
        <f t="shared" si="594"/>
        <v>0</v>
      </c>
      <c r="U505" s="81">
        <f t="shared" si="594"/>
        <v>0</v>
      </c>
      <c r="V505" s="81">
        <f t="shared" si="571"/>
        <v>10274718</v>
      </c>
      <c r="W505" s="81">
        <f t="shared" si="571"/>
        <v>10571386.720000001</v>
      </c>
      <c r="X505" s="81">
        <f t="shared" si="571"/>
        <v>10379922.189999999</v>
      </c>
    </row>
    <row r="506" spans="1:24" ht="25.5">
      <c r="A506" s="188" t="s">
        <v>98</v>
      </c>
      <c r="B506" s="3" t="s">
        <v>402</v>
      </c>
      <c r="C506" s="3" t="s">
        <v>20</v>
      </c>
      <c r="D506" s="3" t="s">
        <v>49</v>
      </c>
      <c r="E506" s="1" t="s">
        <v>82</v>
      </c>
      <c r="F506" s="1" t="s">
        <v>70</v>
      </c>
      <c r="G506" s="1" t="s">
        <v>148</v>
      </c>
      <c r="H506" s="3" t="s">
        <v>177</v>
      </c>
      <c r="I506" s="16" t="s">
        <v>95</v>
      </c>
      <c r="J506" s="81">
        <v>10274718</v>
      </c>
      <c r="K506" s="81">
        <v>10571386.720000001</v>
      </c>
      <c r="L506" s="81">
        <v>10379922.189999999</v>
      </c>
      <c r="M506" s="81"/>
      <c r="N506" s="81"/>
      <c r="O506" s="81"/>
      <c r="P506" s="81">
        <f>P1682</f>
        <v>10274718</v>
      </c>
      <c r="Q506" s="81">
        <f t="shared" ref="Q506:U506" si="595">Q1682</f>
        <v>10571386.720000001</v>
      </c>
      <c r="R506" s="81">
        <f t="shared" si="595"/>
        <v>10379922.189999999</v>
      </c>
      <c r="S506" s="81">
        <f t="shared" si="595"/>
        <v>0</v>
      </c>
      <c r="T506" s="81">
        <f t="shared" si="595"/>
        <v>0</v>
      </c>
      <c r="U506" s="81">
        <f t="shared" si="595"/>
        <v>0</v>
      </c>
      <c r="V506" s="81">
        <f t="shared" si="571"/>
        <v>10274718</v>
      </c>
      <c r="W506" s="81">
        <f t="shared" si="571"/>
        <v>10571386.720000001</v>
      </c>
      <c r="X506" s="81">
        <f t="shared" si="571"/>
        <v>10379922.189999999</v>
      </c>
    </row>
    <row r="507" spans="1:24">
      <c r="A507" s="188" t="s">
        <v>80</v>
      </c>
      <c r="B507" s="3" t="s">
        <v>402</v>
      </c>
      <c r="C507" s="3" t="s">
        <v>20</v>
      </c>
      <c r="D507" s="3" t="s">
        <v>49</v>
      </c>
      <c r="E507" s="1" t="s">
        <v>82</v>
      </c>
      <c r="F507" s="1" t="s">
        <v>70</v>
      </c>
      <c r="G507" s="1" t="s">
        <v>148</v>
      </c>
      <c r="H507" s="3" t="s">
        <v>177</v>
      </c>
      <c r="I507" s="16" t="s">
        <v>77</v>
      </c>
      <c r="J507" s="81">
        <f>J508</f>
        <v>35000</v>
      </c>
      <c r="K507" s="81">
        <f t="shared" ref="K507:O507" si="596">K508</f>
        <v>35000</v>
      </c>
      <c r="L507" s="81">
        <f t="shared" si="596"/>
        <v>35000</v>
      </c>
      <c r="M507" s="81">
        <f t="shared" si="596"/>
        <v>0</v>
      </c>
      <c r="N507" s="81">
        <f t="shared" si="596"/>
        <v>0</v>
      </c>
      <c r="O507" s="81">
        <f t="shared" si="596"/>
        <v>0</v>
      </c>
      <c r="P507" s="81">
        <f>P508</f>
        <v>35000</v>
      </c>
      <c r="Q507" s="81">
        <f t="shared" ref="Q507:U507" si="597">Q508</f>
        <v>35000</v>
      </c>
      <c r="R507" s="81">
        <f t="shared" si="597"/>
        <v>35000</v>
      </c>
      <c r="S507" s="81">
        <f t="shared" si="597"/>
        <v>0</v>
      </c>
      <c r="T507" s="81">
        <f t="shared" si="597"/>
        <v>0</v>
      </c>
      <c r="U507" s="81">
        <f t="shared" si="597"/>
        <v>0</v>
      </c>
      <c r="V507" s="81">
        <f t="shared" si="571"/>
        <v>35000</v>
      </c>
      <c r="W507" s="81">
        <f t="shared" si="571"/>
        <v>35000</v>
      </c>
      <c r="X507" s="81">
        <f t="shared" si="571"/>
        <v>35000</v>
      </c>
    </row>
    <row r="508" spans="1:24">
      <c r="A508" s="190" t="s">
        <v>125</v>
      </c>
      <c r="B508" s="3" t="s">
        <v>402</v>
      </c>
      <c r="C508" s="3" t="s">
        <v>20</v>
      </c>
      <c r="D508" s="3" t="s">
        <v>49</v>
      </c>
      <c r="E508" s="1" t="s">
        <v>82</v>
      </c>
      <c r="F508" s="1" t="s">
        <v>70</v>
      </c>
      <c r="G508" s="1" t="s">
        <v>148</v>
      </c>
      <c r="H508" s="3" t="s">
        <v>177</v>
      </c>
      <c r="I508" s="16" t="s">
        <v>124</v>
      </c>
      <c r="J508" s="81">
        <v>35000</v>
      </c>
      <c r="K508" s="81">
        <v>35000</v>
      </c>
      <c r="L508" s="81">
        <v>35000</v>
      </c>
      <c r="M508" s="81"/>
      <c r="N508" s="81"/>
      <c r="O508" s="81"/>
      <c r="P508" s="81">
        <f>P1684</f>
        <v>35000</v>
      </c>
      <c r="Q508" s="81">
        <f t="shared" ref="Q508:U508" si="598">Q1684</f>
        <v>35000</v>
      </c>
      <c r="R508" s="81">
        <f t="shared" si="598"/>
        <v>35000</v>
      </c>
      <c r="S508" s="81">
        <f t="shared" si="598"/>
        <v>0</v>
      </c>
      <c r="T508" s="81">
        <f t="shared" si="598"/>
        <v>0</v>
      </c>
      <c r="U508" s="81">
        <f t="shared" si="598"/>
        <v>0</v>
      </c>
      <c r="V508" s="81">
        <f t="shared" si="571"/>
        <v>35000</v>
      </c>
      <c r="W508" s="81">
        <f t="shared" si="571"/>
        <v>35000</v>
      </c>
      <c r="X508" s="81">
        <f t="shared" si="571"/>
        <v>35000</v>
      </c>
    </row>
    <row r="509" spans="1:24">
      <c r="A509" s="190" t="s">
        <v>332</v>
      </c>
      <c r="B509" s="3" t="s">
        <v>402</v>
      </c>
      <c r="C509" s="3" t="s">
        <v>20</v>
      </c>
      <c r="D509" s="3" t="s">
        <v>49</v>
      </c>
      <c r="E509" s="1" t="s">
        <v>82</v>
      </c>
      <c r="F509" s="1" t="s">
        <v>70</v>
      </c>
      <c r="G509" s="1" t="s">
        <v>148</v>
      </c>
      <c r="H509" s="3" t="s">
        <v>185</v>
      </c>
      <c r="I509" s="16"/>
      <c r="J509" s="81"/>
      <c r="K509" s="81"/>
      <c r="L509" s="81"/>
      <c r="M509" s="81"/>
      <c r="N509" s="81"/>
      <c r="O509" s="81"/>
      <c r="P509" s="81">
        <f>P510</f>
        <v>0</v>
      </c>
      <c r="Q509" s="81">
        <f t="shared" ref="Q509:R510" si="599">Q510</f>
        <v>0</v>
      </c>
      <c r="R509" s="81">
        <f t="shared" si="599"/>
        <v>0</v>
      </c>
      <c r="S509" s="81">
        <f>S510</f>
        <v>89793.76</v>
      </c>
      <c r="T509" s="81">
        <f t="shared" ref="T509:U510" si="600">T510</f>
        <v>0</v>
      </c>
      <c r="U509" s="81">
        <f t="shared" si="600"/>
        <v>0</v>
      </c>
      <c r="V509" s="81">
        <f t="shared" si="571"/>
        <v>89793.76</v>
      </c>
      <c r="W509" s="81">
        <f t="shared" si="571"/>
        <v>0</v>
      </c>
      <c r="X509" s="81">
        <f t="shared" si="571"/>
        <v>0</v>
      </c>
    </row>
    <row r="510" spans="1:24" ht="25.5">
      <c r="A510" s="189" t="s">
        <v>260</v>
      </c>
      <c r="B510" s="3" t="s">
        <v>402</v>
      </c>
      <c r="C510" s="3" t="s">
        <v>20</v>
      </c>
      <c r="D510" s="3" t="s">
        <v>49</v>
      </c>
      <c r="E510" s="1" t="s">
        <v>82</v>
      </c>
      <c r="F510" s="1" t="s">
        <v>70</v>
      </c>
      <c r="G510" s="1" t="s">
        <v>148</v>
      </c>
      <c r="H510" s="3" t="s">
        <v>185</v>
      </c>
      <c r="I510" s="16" t="s">
        <v>94</v>
      </c>
      <c r="J510" s="81"/>
      <c r="K510" s="81"/>
      <c r="L510" s="81"/>
      <c r="M510" s="81"/>
      <c r="N510" s="81"/>
      <c r="O510" s="81"/>
      <c r="P510" s="81">
        <f>P511</f>
        <v>0</v>
      </c>
      <c r="Q510" s="81">
        <f t="shared" si="599"/>
        <v>0</v>
      </c>
      <c r="R510" s="81">
        <f t="shared" si="599"/>
        <v>0</v>
      </c>
      <c r="S510" s="81">
        <f>S511</f>
        <v>89793.76</v>
      </c>
      <c r="T510" s="81">
        <f t="shared" si="600"/>
        <v>0</v>
      </c>
      <c r="U510" s="81">
        <f t="shared" si="600"/>
        <v>0</v>
      </c>
      <c r="V510" s="81">
        <f t="shared" si="571"/>
        <v>89793.76</v>
      </c>
      <c r="W510" s="81">
        <f t="shared" si="571"/>
        <v>0</v>
      </c>
      <c r="X510" s="81">
        <f t="shared" si="571"/>
        <v>0</v>
      </c>
    </row>
    <row r="511" spans="1:24" ht="25.5">
      <c r="A511" s="188" t="s">
        <v>98</v>
      </c>
      <c r="B511" s="3" t="s">
        <v>402</v>
      </c>
      <c r="C511" s="3" t="s">
        <v>20</v>
      </c>
      <c r="D511" s="3" t="s">
        <v>49</v>
      </c>
      <c r="E511" s="1" t="s">
        <v>82</v>
      </c>
      <c r="F511" s="1" t="s">
        <v>70</v>
      </c>
      <c r="G511" s="1" t="s">
        <v>148</v>
      </c>
      <c r="H511" s="3" t="s">
        <v>185</v>
      </c>
      <c r="I511" s="16" t="s">
        <v>95</v>
      </c>
      <c r="J511" s="81"/>
      <c r="K511" s="81"/>
      <c r="L511" s="81"/>
      <c r="M511" s="81"/>
      <c r="N511" s="81"/>
      <c r="O511" s="81"/>
      <c r="P511" s="81">
        <f>P1525</f>
        <v>0</v>
      </c>
      <c r="Q511" s="81">
        <f t="shared" ref="Q511:U511" si="601">Q1525</f>
        <v>0</v>
      </c>
      <c r="R511" s="81">
        <f t="shared" si="601"/>
        <v>0</v>
      </c>
      <c r="S511" s="81">
        <f t="shared" si="601"/>
        <v>89793.76</v>
      </c>
      <c r="T511" s="81">
        <f t="shared" si="601"/>
        <v>0</v>
      </c>
      <c r="U511" s="81">
        <f t="shared" si="601"/>
        <v>0</v>
      </c>
      <c r="V511" s="81">
        <f t="shared" si="571"/>
        <v>89793.76</v>
      </c>
      <c r="W511" s="81">
        <f t="shared" si="571"/>
        <v>0</v>
      </c>
      <c r="X511" s="81">
        <f t="shared" si="571"/>
        <v>0</v>
      </c>
    </row>
    <row r="512" spans="1:24">
      <c r="A512" s="190" t="s">
        <v>240</v>
      </c>
      <c r="B512" s="3" t="s">
        <v>402</v>
      </c>
      <c r="C512" s="3" t="s">
        <v>20</v>
      </c>
      <c r="D512" s="3" t="s">
        <v>49</v>
      </c>
      <c r="E512" s="1" t="s">
        <v>82</v>
      </c>
      <c r="F512" s="1" t="s">
        <v>70</v>
      </c>
      <c r="G512" s="1" t="s">
        <v>148</v>
      </c>
      <c r="H512" s="3" t="s">
        <v>241</v>
      </c>
      <c r="I512" s="16"/>
      <c r="J512" s="81">
        <f>J513</f>
        <v>0</v>
      </c>
      <c r="K512" s="81">
        <f t="shared" ref="K512:O513" si="602">K513</f>
        <v>0</v>
      </c>
      <c r="L512" s="81">
        <f t="shared" si="602"/>
        <v>0</v>
      </c>
      <c r="M512" s="81">
        <f t="shared" si="602"/>
        <v>115000</v>
      </c>
      <c r="N512" s="81">
        <f t="shared" si="602"/>
        <v>0</v>
      </c>
      <c r="O512" s="81">
        <f t="shared" si="602"/>
        <v>0</v>
      </c>
      <c r="P512" s="81">
        <f>P513</f>
        <v>115000</v>
      </c>
      <c r="Q512" s="81">
        <f t="shared" ref="Q512:U513" si="603">Q513</f>
        <v>0</v>
      </c>
      <c r="R512" s="81">
        <f t="shared" si="603"/>
        <v>0</v>
      </c>
      <c r="S512" s="81">
        <f t="shared" si="603"/>
        <v>0</v>
      </c>
      <c r="T512" s="81">
        <f t="shared" si="603"/>
        <v>0</v>
      </c>
      <c r="U512" s="81">
        <f t="shared" si="603"/>
        <v>0</v>
      </c>
      <c r="V512" s="81">
        <f t="shared" si="571"/>
        <v>115000</v>
      </c>
      <c r="W512" s="81">
        <f t="shared" si="571"/>
        <v>0</v>
      </c>
      <c r="X512" s="81">
        <f t="shared" si="571"/>
        <v>0</v>
      </c>
    </row>
    <row r="513" spans="1:24" ht="25.5">
      <c r="A513" s="189" t="s">
        <v>260</v>
      </c>
      <c r="B513" s="3" t="s">
        <v>402</v>
      </c>
      <c r="C513" s="3" t="s">
        <v>20</v>
      </c>
      <c r="D513" s="3" t="s">
        <v>49</v>
      </c>
      <c r="E513" s="1" t="s">
        <v>82</v>
      </c>
      <c r="F513" s="1" t="s">
        <v>70</v>
      </c>
      <c r="G513" s="1" t="s">
        <v>148</v>
      </c>
      <c r="H513" s="3" t="s">
        <v>241</v>
      </c>
      <c r="I513" s="16" t="s">
        <v>94</v>
      </c>
      <c r="J513" s="81">
        <f>J514</f>
        <v>0</v>
      </c>
      <c r="K513" s="81">
        <f t="shared" si="602"/>
        <v>0</v>
      </c>
      <c r="L513" s="81">
        <f t="shared" si="602"/>
        <v>0</v>
      </c>
      <c r="M513" s="81">
        <f t="shared" si="602"/>
        <v>115000</v>
      </c>
      <c r="N513" s="81">
        <f t="shared" si="602"/>
        <v>0</v>
      </c>
      <c r="O513" s="81">
        <f t="shared" si="602"/>
        <v>0</v>
      </c>
      <c r="P513" s="81">
        <f>P514</f>
        <v>115000</v>
      </c>
      <c r="Q513" s="81">
        <f t="shared" si="603"/>
        <v>0</v>
      </c>
      <c r="R513" s="81">
        <f t="shared" si="603"/>
        <v>0</v>
      </c>
      <c r="S513" s="81">
        <f t="shared" si="603"/>
        <v>0</v>
      </c>
      <c r="T513" s="81">
        <f t="shared" si="603"/>
        <v>0</v>
      </c>
      <c r="U513" s="81">
        <f t="shared" si="603"/>
        <v>0</v>
      </c>
      <c r="V513" s="81">
        <f t="shared" si="571"/>
        <v>115000</v>
      </c>
      <c r="W513" s="81">
        <f t="shared" si="571"/>
        <v>0</v>
      </c>
      <c r="X513" s="81">
        <f t="shared" si="571"/>
        <v>0</v>
      </c>
    </row>
    <row r="514" spans="1:24" ht="25.5">
      <c r="A514" s="188" t="s">
        <v>98</v>
      </c>
      <c r="B514" s="3" t="s">
        <v>402</v>
      </c>
      <c r="C514" s="3" t="s">
        <v>20</v>
      </c>
      <c r="D514" s="3" t="s">
        <v>49</v>
      </c>
      <c r="E514" s="1" t="s">
        <v>82</v>
      </c>
      <c r="F514" s="1" t="s">
        <v>70</v>
      </c>
      <c r="G514" s="1" t="s">
        <v>148</v>
      </c>
      <c r="H514" s="3" t="s">
        <v>241</v>
      </c>
      <c r="I514" s="16" t="s">
        <v>95</v>
      </c>
      <c r="J514" s="81"/>
      <c r="K514" s="81"/>
      <c r="L514" s="81"/>
      <c r="M514" s="81">
        <v>115000</v>
      </c>
      <c r="N514" s="81"/>
      <c r="O514" s="81"/>
      <c r="P514" s="81">
        <f>P891</f>
        <v>115000</v>
      </c>
      <c r="Q514" s="81">
        <f t="shared" ref="Q514:U514" si="604">Q891</f>
        <v>0</v>
      </c>
      <c r="R514" s="81">
        <f t="shared" si="604"/>
        <v>0</v>
      </c>
      <c r="S514" s="81">
        <f t="shared" si="604"/>
        <v>0</v>
      </c>
      <c r="T514" s="81">
        <f t="shared" si="604"/>
        <v>0</v>
      </c>
      <c r="U514" s="81">
        <f t="shared" si="604"/>
        <v>0</v>
      </c>
      <c r="V514" s="81">
        <f t="shared" si="571"/>
        <v>115000</v>
      </c>
      <c r="W514" s="81">
        <f t="shared" si="571"/>
        <v>0</v>
      </c>
      <c r="X514" s="81">
        <f t="shared" si="571"/>
        <v>0</v>
      </c>
    </row>
    <row r="515" spans="1:24" ht="43.5" customHeight="1">
      <c r="A515" s="190" t="s">
        <v>307</v>
      </c>
      <c r="B515" s="3" t="s">
        <v>402</v>
      </c>
      <c r="C515" s="3" t="s">
        <v>20</v>
      </c>
      <c r="D515" s="3" t="s">
        <v>49</v>
      </c>
      <c r="E515" s="1" t="s">
        <v>82</v>
      </c>
      <c r="F515" s="1" t="s">
        <v>70</v>
      </c>
      <c r="G515" s="1" t="s">
        <v>148</v>
      </c>
      <c r="H515" s="3" t="s">
        <v>306</v>
      </c>
      <c r="I515" s="16"/>
      <c r="J515" s="81">
        <f>J516</f>
        <v>2152400</v>
      </c>
      <c r="K515" s="81">
        <f t="shared" ref="K515:O516" si="605">K516</f>
        <v>0</v>
      </c>
      <c r="L515" s="81">
        <f t="shared" si="605"/>
        <v>0</v>
      </c>
      <c r="M515" s="81">
        <f t="shared" si="605"/>
        <v>0</v>
      </c>
      <c r="N515" s="81">
        <f t="shared" si="605"/>
        <v>0</v>
      </c>
      <c r="O515" s="81">
        <f t="shared" si="605"/>
        <v>0</v>
      </c>
      <c r="P515" s="81">
        <f>P516</f>
        <v>2152400</v>
      </c>
      <c r="Q515" s="81">
        <f t="shared" ref="Q515:U516" si="606">Q516</f>
        <v>0</v>
      </c>
      <c r="R515" s="81">
        <f t="shared" si="606"/>
        <v>0</v>
      </c>
      <c r="S515" s="81">
        <f t="shared" si="606"/>
        <v>0</v>
      </c>
      <c r="T515" s="81">
        <f t="shared" si="606"/>
        <v>0</v>
      </c>
      <c r="U515" s="81">
        <f t="shared" si="606"/>
        <v>0</v>
      </c>
      <c r="V515" s="81">
        <f t="shared" si="571"/>
        <v>2152400</v>
      </c>
      <c r="W515" s="81">
        <f t="shared" si="571"/>
        <v>0</v>
      </c>
      <c r="X515" s="81">
        <f t="shared" si="571"/>
        <v>0</v>
      </c>
    </row>
    <row r="516" spans="1:24">
      <c r="A516" s="9" t="s">
        <v>100</v>
      </c>
      <c r="B516" s="3" t="s">
        <v>402</v>
      </c>
      <c r="C516" s="3" t="s">
        <v>20</v>
      </c>
      <c r="D516" s="3" t="s">
        <v>49</v>
      </c>
      <c r="E516" s="1" t="s">
        <v>82</v>
      </c>
      <c r="F516" s="1" t="s">
        <v>70</v>
      </c>
      <c r="G516" s="1" t="s">
        <v>148</v>
      </c>
      <c r="H516" s="3" t="s">
        <v>306</v>
      </c>
      <c r="I516" s="16" t="s">
        <v>99</v>
      </c>
      <c r="J516" s="81">
        <f>J517</f>
        <v>2152400</v>
      </c>
      <c r="K516" s="81">
        <f t="shared" si="605"/>
        <v>0</v>
      </c>
      <c r="L516" s="81">
        <f t="shared" si="605"/>
        <v>0</v>
      </c>
      <c r="M516" s="81">
        <f t="shared" si="605"/>
        <v>0</v>
      </c>
      <c r="N516" s="81">
        <f t="shared" si="605"/>
        <v>0</v>
      </c>
      <c r="O516" s="81">
        <f t="shared" si="605"/>
        <v>0</v>
      </c>
      <c r="P516" s="81">
        <f>P517</f>
        <v>2152400</v>
      </c>
      <c r="Q516" s="81">
        <f t="shared" si="606"/>
        <v>0</v>
      </c>
      <c r="R516" s="81">
        <f t="shared" si="606"/>
        <v>0</v>
      </c>
      <c r="S516" s="81">
        <f t="shared" si="606"/>
        <v>0</v>
      </c>
      <c r="T516" s="81">
        <f t="shared" si="606"/>
        <v>0</v>
      </c>
      <c r="U516" s="81">
        <f t="shared" si="606"/>
        <v>0</v>
      </c>
      <c r="V516" s="81">
        <f t="shared" si="571"/>
        <v>2152400</v>
      </c>
      <c r="W516" s="81">
        <f t="shared" si="571"/>
        <v>0</v>
      </c>
      <c r="X516" s="81">
        <f t="shared" si="571"/>
        <v>0</v>
      </c>
    </row>
    <row r="517" spans="1:24" ht="25.5">
      <c r="A517" s="9" t="s">
        <v>106</v>
      </c>
      <c r="B517" s="3" t="s">
        <v>402</v>
      </c>
      <c r="C517" s="3" t="s">
        <v>20</v>
      </c>
      <c r="D517" s="3" t="s">
        <v>49</v>
      </c>
      <c r="E517" s="1" t="s">
        <v>82</v>
      </c>
      <c r="F517" s="1" t="s">
        <v>70</v>
      </c>
      <c r="G517" s="1" t="s">
        <v>148</v>
      </c>
      <c r="H517" s="3" t="s">
        <v>306</v>
      </c>
      <c r="I517" s="16" t="s">
        <v>107</v>
      </c>
      <c r="J517" s="81">
        <v>2152400</v>
      </c>
      <c r="K517" s="81"/>
      <c r="L517" s="81"/>
      <c r="M517" s="81"/>
      <c r="N517" s="81"/>
      <c r="O517" s="81"/>
      <c r="P517" s="81">
        <f>P894+P1287</f>
        <v>2152400</v>
      </c>
      <c r="Q517" s="81">
        <f t="shared" ref="Q517:U517" si="607">Q894+Q1287</f>
        <v>0</v>
      </c>
      <c r="R517" s="81">
        <f t="shared" si="607"/>
        <v>0</v>
      </c>
      <c r="S517" s="81">
        <f t="shared" si="607"/>
        <v>0</v>
      </c>
      <c r="T517" s="81">
        <f t="shared" si="607"/>
        <v>0</v>
      </c>
      <c r="U517" s="81">
        <f t="shared" si="607"/>
        <v>0</v>
      </c>
      <c r="V517" s="81">
        <f t="shared" si="571"/>
        <v>2152400</v>
      </c>
      <c r="W517" s="81">
        <f t="shared" si="571"/>
        <v>0</v>
      </c>
      <c r="X517" s="81">
        <f t="shared" si="571"/>
        <v>0</v>
      </c>
    </row>
    <row r="518" spans="1:24">
      <c r="A518" s="9"/>
      <c r="B518" s="3"/>
      <c r="C518" s="3"/>
      <c r="D518" s="3"/>
      <c r="E518" s="1"/>
      <c r="F518" s="1"/>
      <c r="G518" s="1"/>
      <c r="H518" s="3"/>
      <c r="I518" s="16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</row>
    <row r="519" spans="1:24" ht="15.75">
      <c r="A519" s="193" t="s">
        <v>54</v>
      </c>
      <c r="B519" s="25" t="s">
        <v>402</v>
      </c>
      <c r="C519" s="25" t="s">
        <v>17</v>
      </c>
      <c r="D519" s="1"/>
      <c r="E519" s="1"/>
      <c r="F519" s="1"/>
      <c r="G519" s="1"/>
      <c r="H519" s="1"/>
      <c r="I519" s="13"/>
      <c r="J519" s="100">
        <f>+J520</f>
        <v>621621.58000000007</v>
      </c>
      <c r="K519" s="100">
        <f t="shared" ref="K519:O519" si="608">+K520</f>
        <v>650717.02999999991</v>
      </c>
      <c r="L519" s="100">
        <f t="shared" si="608"/>
        <v>669603.63</v>
      </c>
      <c r="M519" s="100">
        <f t="shared" si="608"/>
        <v>11605.619999999995</v>
      </c>
      <c r="N519" s="100">
        <f t="shared" si="608"/>
        <v>12144.13</v>
      </c>
      <c r="O519" s="100">
        <f t="shared" si="608"/>
        <v>17529.900000000001</v>
      </c>
      <c r="P519" s="100">
        <f>P520</f>
        <v>633227.19999999995</v>
      </c>
      <c r="Q519" s="100">
        <f t="shared" ref="Q519:U521" si="609">Q520</f>
        <v>662861.15999999992</v>
      </c>
      <c r="R519" s="100">
        <f t="shared" si="609"/>
        <v>687133.53</v>
      </c>
      <c r="S519" s="100">
        <f t="shared" ref="S519:U519" si="610">+S520</f>
        <v>0</v>
      </c>
      <c r="T519" s="100">
        <f t="shared" si="610"/>
        <v>0</v>
      </c>
      <c r="U519" s="100">
        <f t="shared" si="610"/>
        <v>0</v>
      </c>
      <c r="V519" s="100">
        <f t="shared" si="571"/>
        <v>633227.19999999995</v>
      </c>
      <c r="W519" s="100">
        <f t="shared" si="571"/>
        <v>662861.15999999992</v>
      </c>
      <c r="X519" s="100">
        <f t="shared" si="571"/>
        <v>687133.53</v>
      </c>
    </row>
    <row r="520" spans="1:24">
      <c r="A520" s="194" t="s">
        <v>55</v>
      </c>
      <c r="B520" s="15" t="s">
        <v>402</v>
      </c>
      <c r="C520" s="15" t="s">
        <v>17</v>
      </c>
      <c r="D520" s="15" t="s">
        <v>13</v>
      </c>
      <c r="E520" s="15"/>
      <c r="F520" s="15"/>
      <c r="G520" s="15"/>
      <c r="H520" s="15"/>
      <c r="I520" s="26"/>
      <c r="J520" s="101">
        <f>J521</f>
        <v>621621.58000000007</v>
      </c>
      <c r="K520" s="101">
        <f t="shared" ref="K520:O521" si="611">K521</f>
        <v>650717.02999999991</v>
      </c>
      <c r="L520" s="101">
        <f t="shared" si="611"/>
        <v>669603.63</v>
      </c>
      <c r="M520" s="101">
        <f t="shared" si="611"/>
        <v>11605.619999999995</v>
      </c>
      <c r="N520" s="101">
        <f t="shared" si="611"/>
        <v>12144.13</v>
      </c>
      <c r="O520" s="101">
        <f t="shared" si="611"/>
        <v>17529.900000000001</v>
      </c>
      <c r="P520" s="101">
        <f>P521</f>
        <v>633227.19999999995</v>
      </c>
      <c r="Q520" s="101">
        <f t="shared" si="609"/>
        <v>662861.15999999992</v>
      </c>
      <c r="R520" s="101">
        <f t="shared" si="609"/>
        <v>687133.53</v>
      </c>
      <c r="S520" s="101">
        <f t="shared" si="609"/>
        <v>0</v>
      </c>
      <c r="T520" s="101">
        <f t="shared" si="609"/>
        <v>0</v>
      </c>
      <c r="U520" s="101">
        <f t="shared" si="609"/>
        <v>0</v>
      </c>
      <c r="V520" s="101">
        <f t="shared" si="571"/>
        <v>633227.19999999995</v>
      </c>
      <c r="W520" s="101">
        <f t="shared" si="571"/>
        <v>662861.15999999992</v>
      </c>
      <c r="X520" s="101">
        <f t="shared" si="571"/>
        <v>687133.53</v>
      </c>
    </row>
    <row r="521" spans="1:24">
      <c r="A521" s="9" t="s">
        <v>83</v>
      </c>
      <c r="B521" s="3" t="s">
        <v>402</v>
      </c>
      <c r="C521" s="1" t="s">
        <v>17</v>
      </c>
      <c r="D521" s="1" t="s">
        <v>13</v>
      </c>
      <c r="E521" s="1" t="s">
        <v>82</v>
      </c>
      <c r="F521" s="1" t="s">
        <v>70</v>
      </c>
      <c r="G521" s="1" t="s">
        <v>148</v>
      </c>
      <c r="H521" s="1" t="s">
        <v>149</v>
      </c>
      <c r="I521" s="13"/>
      <c r="J521" s="102">
        <f>J522</f>
        <v>621621.58000000007</v>
      </c>
      <c r="K521" s="102">
        <f t="shared" si="611"/>
        <v>650717.02999999991</v>
      </c>
      <c r="L521" s="102">
        <f t="shared" si="611"/>
        <v>669603.63</v>
      </c>
      <c r="M521" s="102">
        <f t="shared" si="611"/>
        <v>11605.619999999995</v>
      </c>
      <c r="N521" s="102">
        <f t="shared" si="611"/>
        <v>12144.13</v>
      </c>
      <c r="O521" s="102">
        <f t="shared" si="611"/>
        <v>17529.900000000001</v>
      </c>
      <c r="P521" s="102">
        <f>P522</f>
        <v>633227.19999999995</v>
      </c>
      <c r="Q521" s="102">
        <f t="shared" si="609"/>
        <v>662861.15999999992</v>
      </c>
      <c r="R521" s="102">
        <f t="shared" si="609"/>
        <v>687133.53</v>
      </c>
      <c r="S521" s="102">
        <f t="shared" si="609"/>
        <v>0</v>
      </c>
      <c r="T521" s="102">
        <f t="shared" si="609"/>
        <v>0</v>
      </c>
      <c r="U521" s="102">
        <f t="shared" si="609"/>
        <v>0</v>
      </c>
      <c r="V521" s="102">
        <f t="shared" si="571"/>
        <v>633227.19999999995</v>
      </c>
      <c r="W521" s="102">
        <f t="shared" si="571"/>
        <v>662861.15999999992</v>
      </c>
      <c r="X521" s="102">
        <f t="shared" si="571"/>
        <v>687133.53</v>
      </c>
    </row>
    <row r="522" spans="1:24" ht="25.5">
      <c r="A522" s="9" t="s">
        <v>304</v>
      </c>
      <c r="B522" s="3" t="s">
        <v>402</v>
      </c>
      <c r="C522" s="1" t="s">
        <v>17</v>
      </c>
      <c r="D522" s="1" t="s">
        <v>13</v>
      </c>
      <c r="E522" s="1" t="s">
        <v>82</v>
      </c>
      <c r="F522" s="1" t="s">
        <v>70</v>
      </c>
      <c r="G522" s="1" t="s">
        <v>148</v>
      </c>
      <c r="H522" s="1" t="s">
        <v>305</v>
      </c>
      <c r="I522" s="13"/>
      <c r="J522" s="102">
        <f>J523+J525</f>
        <v>621621.58000000007</v>
      </c>
      <c r="K522" s="102">
        <f t="shared" ref="K522:O522" si="612">K523+K525</f>
        <v>650717.02999999991</v>
      </c>
      <c r="L522" s="102">
        <f t="shared" si="612"/>
        <v>669603.63</v>
      </c>
      <c r="M522" s="102">
        <f t="shared" si="612"/>
        <v>11605.619999999995</v>
      </c>
      <c r="N522" s="102">
        <f t="shared" si="612"/>
        <v>12144.13</v>
      </c>
      <c r="O522" s="102">
        <f t="shared" si="612"/>
        <v>17529.900000000001</v>
      </c>
      <c r="P522" s="102">
        <f>P523+P525</f>
        <v>633227.19999999995</v>
      </c>
      <c r="Q522" s="102">
        <f t="shared" ref="Q522:U522" si="613">Q523+Q525</f>
        <v>662861.15999999992</v>
      </c>
      <c r="R522" s="102">
        <f t="shared" si="613"/>
        <v>687133.53</v>
      </c>
      <c r="S522" s="102">
        <f t="shared" si="613"/>
        <v>0</v>
      </c>
      <c r="T522" s="102">
        <f t="shared" si="613"/>
        <v>0</v>
      </c>
      <c r="U522" s="102">
        <f t="shared" si="613"/>
        <v>0</v>
      </c>
      <c r="V522" s="102">
        <f t="shared" ref="V522:X538" si="614">P522+S522</f>
        <v>633227.19999999995</v>
      </c>
      <c r="W522" s="102">
        <f t="shared" si="614"/>
        <v>662861.15999999992</v>
      </c>
      <c r="X522" s="102">
        <f t="shared" si="614"/>
        <v>687133.53</v>
      </c>
    </row>
    <row r="523" spans="1:24" ht="38.25">
      <c r="A523" s="188" t="s">
        <v>96</v>
      </c>
      <c r="B523" s="3" t="s">
        <v>402</v>
      </c>
      <c r="C523" s="1" t="s">
        <v>17</v>
      </c>
      <c r="D523" s="1" t="s">
        <v>13</v>
      </c>
      <c r="E523" s="1" t="s">
        <v>82</v>
      </c>
      <c r="F523" s="1" t="s">
        <v>70</v>
      </c>
      <c r="G523" s="1" t="s">
        <v>148</v>
      </c>
      <c r="H523" s="1" t="s">
        <v>305</v>
      </c>
      <c r="I523" s="13" t="s">
        <v>92</v>
      </c>
      <c r="J523" s="102">
        <f>J524</f>
        <v>570116.66</v>
      </c>
      <c r="K523" s="102">
        <f t="shared" ref="K523:O523" si="615">K524</f>
        <v>623398.46</v>
      </c>
      <c r="L523" s="102">
        <f t="shared" si="615"/>
        <v>623398.46</v>
      </c>
      <c r="M523" s="102">
        <f t="shared" si="615"/>
        <v>-242012.66</v>
      </c>
      <c r="N523" s="102">
        <f t="shared" si="615"/>
        <v>12144.13</v>
      </c>
      <c r="O523" s="102">
        <f t="shared" si="615"/>
        <v>17529.900000000001</v>
      </c>
      <c r="P523" s="102">
        <f>P524</f>
        <v>328104</v>
      </c>
      <c r="Q523" s="102">
        <f t="shared" ref="Q523:U523" si="616">Q524</f>
        <v>635542.59</v>
      </c>
      <c r="R523" s="102">
        <f t="shared" si="616"/>
        <v>640928.36</v>
      </c>
      <c r="S523" s="102">
        <f t="shared" si="616"/>
        <v>0</v>
      </c>
      <c r="T523" s="102">
        <f t="shared" si="616"/>
        <v>0</v>
      </c>
      <c r="U523" s="102">
        <f t="shared" si="616"/>
        <v>0</v>
      </c>
      <c r="V523" s="102">
        <f t="shared" si="614"/>
        <v>328104</v>
      </c>
      <c r="W523" s="102">
        <f t="shared" si="614"/>
        <v>635542.59</v>
      </c>
      <c r="X523" s="102">
        <f t="shared" si="614"/>
        <v>640928.36</v>
      </c>
    </row>
    <row r="524" spans="1:24">
      <c r="A524" s="188" t="s">
        <v>103</v>
      </c>
      <c r="B524" s="3" t="s">
        <v>402</v>
      </c>
      <c r="C524" s="1" t="s">
        <v>17</v>
      </c>
      <c r="D524" s="1" t="s">
        <v>13</v>
      </c>
      <c r="E524" s="1" t="s">
        <v>82</v>
      </c>
      <c r="F524" s="1" t="s">
        <v>70</v>
      </c>
      <c r="G524" s="1" t="s">
        <v>148</v>
      </c>
      <c r="H524" s="1" t="s">
        <v>305</v>
      </c>
      <c r="I524" s="13" t="s">
        <v>102</v>
      </c>
      <c r="J524" s="102">
        <f>548166.66+21950</f>
        <v>570116.66</v>
      </c>
      <c r="K524" s="102">
        <f>601448.46+21950</f>
        <v>623398.46</v>
      </c>
      <c r="L524" s="102">
        <f>601448.46+21950</f>
        <v>623398.46</v>
      </c>
      <c r="M524" s="102">
        <f>11605.62-253618.28</f>
        <v>-242012.66</v>
      </c>
      <c r="N524" s="102">
        <v>12144.13</v>
      </c>
      <c r="O524" s="102">
        <v>17529.900000000001</v>
      </c>
      <c r="P524" s="102">
        <f>P1170+P1238+P1293+P1353+P1417+P1469+P1531+P1579+P1629+P900</f>
        <v>328104</v>
      </c>
      <c r="Q524" s="102">
        <f t="shared" ref="Q524:U524" si="617">Q1170+Q1238+Q1293+Q1353+Q1417+Q1469+Q1531+Q1579+Q1629+Q900</f>
        <v>635542.59</v>
      </c>
      <c r="R524" s="102">
        <f t="shared" si="617"/>
        <v>640928.36</v>
      </c>
      <c r="S524" s="102">
        <f t="shared" si="617"/>
        <v>0</v>
      </c>
      <c r="T524" s="102">
        <f t="shared" si="617"/>
        <v>0</v>
      </c>
      <c r="U524" s="102">
        <f t="shared" si="617"/>
        <v>0</v>
      </c>
      <c r="V524" s="102">
        <f t="shared" si="614"/>
        <v>328104</v>
      </c>
      <c r="W524" s="102">
        <f t="shared" si="614"/>
        <v>635542.59</v>
      </c>
      <c r="X524" s="102">
        <f t="shared" si="614"/>
        <v>640928.36</v>
      </c>
    </row>
    <row r="525" spans="1:24" ht="25.5">
      <c r="A525" s="189" t="s">
        <v>260</v>
      </c>
      <c r="B525" s="3" t="s">
        <v>402</v>
      </c>
      <c r="C525" s="1" t="s">
        <v>17</v>
      </c>
      <c r="D525" s="1" t="s">
        <v>13</v>
      </c>
      <c r="E525" s="1" t="s">
        <v>82</v>
      </c>
      <c r="F525" s="1" t="s">
        <v>70</v>
      </c>
      <c r="G525" s="1" t="s">
        <v>148</v>
      </c>
      <c r="H525" s="1" t="s">
        <v>305</v>
      </c>
      <c r="I525" s="13" t="s">
        <v>94</v>
      </c>
      <c r="J525" s="102">
        <f>J526</f>
        <v>51504.92</v>
      </c>
      <c r="K525" s="102">
        <f t="shared" ref="K525:O525" si="618">K526</f>
        <v>27318.57</v>
      </c>
      <c r="L525" s="102">
        <f t="shared" si="618"/>
        <v>46205.17</v>
      </c>
      <c r="M525" s="102">
        <f t="shared" si="618"/>
        <v>253618.28</v>
      </c>
      <c r="N525" s="102">
        <f t="shared" si="618"/>
        <v>0</v>
      </c>
      <c r="O525" s="102">
        <f t="shared" si="618"/>
        <v>0</v>
      </c>
      <c r="P525" s="102">
        <f>P526</f>
        <v>305123.19999999995</v>
      </c>
      <c r="Q525" s="102">
        <f t="shared" ref="Q525:U525" si="619">Q526</f>
        <v>27318.57</v>
      </c>
      <c r="R525" s="102">
        <f t="shared" si="619"/>
        <v>46205.17</v>
      </c>
      <c r="S525" s="102">
        <f t="shared" si="619"/>
        <v>0</v>
      </c>
      <c r="T525" s="102">
        <f t="shared" si="619"/>
        <v>0</v>
      </c>
      <c r="U525" s="102">
        <f t="shared" si="619"/>
        <v>0</v>
      </c>
      <c r="V525" s="102">
        <f t="shared" si="614"/>
        <v>305123.19999999995</v>
      </c>
      <c r="W525" s="102">
        <f t="shared" si="614"/>
        <v>27318.57</v>
      </c>
      <c r="X525" s="102">
        <f t="shared" si="614"/>
        <v>46205.17</v>
      </c>
    </row>
    <row r="526" spans="1:24" ht="25.5">
      <c r="A526" s="188" t="s">
        <v>98</v>
      </c>
      <c r="B526" s="3" t="s">
        <v>402</v>
      </c>
      <c r="C526" s="1" t="s">
        <v>17</v>
      </c>
      <c r="D526" s="1" t="s">
        <v>13</v>
      </c>
      <c r="E526" s="1" t="s">
        <v>82</v>
      </c>
      <c r="F526" s="1" t="s">
        <v>70</v>
      </c>
      <c r="G526" s="1" t="s">
        <v>148</v>
      </c>
      <c r="H526" s="1" t="s">
        <v>305</v>
      </c>
      <c r="I526" s="13" t="s">
        <v>95</v>
      </c>
      <c r="J526" s="102">
        <v>51504.92</v>
      </c>
      <c r="K526" s="102">
        <v>27318.57</v>
      </c>
      <c r="L526" s="102">
        <v>46205.17</v>
      </c>
      <c r="M526" s="102">
        <v>253618.28</v>
      </c>
      <c r="N526" s="102"/>
      <c r="O526" s="102"/>
      <c r="P526" s="102">
        <f>P1172+P1240+P1295+P1355+P1419+P1471+P1533+P1581+P1631+P902</f>
        <v>305123.19999999995</v>
      </c>
      <c r="Q526" s="102">
        <f t="shared" ref="Q526:U526" si="620">Q1172+Q1240+Q1295+Q1355+Q1419+Q1471+Q1533+Q1581+Q1631+Q902</f>
        <v>27318.57</v>
      </c>
      <c r="R526" s="102">
        <f t="shared" si="620"/>
        <v>46205.17</v>
      </c>
      <c r="S526" s="102">
        <f t="shared" si="620"/>
        <v>0</v>
      </c>
      <c r="T526" s="102">
        <f t="shared" si="620"/>
        <v>0</v>
      </c>
      <c r="U526" s="102">
        <f t="shared" si="620"/>
        <v>0</v>
      </c>
      <c r="V526" s="102">
        <f t="shared" si="614"/>
        <v>305123.19999999995</v>
      </c>
      <c r="W526" s="102">
        <f t="shared" si="614"/>
        <v>27318.57</v>
      </c>
      <c r="X526" s="102">
        <f t="shared" si="614"/>
        <v>46205.17</v>
      </c>
    </row>
    <row r="527" spans="1:24">
      <c r="A527" s="188"/>
      <c r="B527" s="3"/>
      <c r="C527" s="1"/>
      <c r="D527" s="1"/>
      <c r="E527" s="1"/>
      <c r="F527" s="1"/>
      <c r="G527" s="1"/>
      <c r="H527" s="1"/>
      <c r="I527" s="13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</row>
    <row r="528" spans="1:24" s="121" customFormat="1" ht="31.5">
      <c r="A528" s="193" t="s">
        <v>26</v>
      </c>
      <c r="B528" s="195" t="s">
        <v>402</v>
      </c>
      <c r="C528" s="195" t="s">
        <v>13</v>
      </c>
      <c r="D528" s="196"/>
      <c r="E528" s="196"/>
      <c r="F528" s="196"/>
      <c r="G528" s="196"/>
      <c r="H528" s="196"/>
      <c r="I528" s="197"/>
      <c r="J528" s="198">
        <f t="shared" ref="J528:U528" si="621">J529+J550</f>
        <v>5759468</v>
      </c>
      <c r="K528" s="198">
        <f t="shared" si="621"/>
        <v>4408686.72</v>
      </c>
      <c r="L528" s="198">
        <f t="shared" si="621"/>
        <v>3122434.19</v>
      </c>
      <c r="M528" s="198">
        <f t="shared" si="621"/>
        <v>0</v>
      </c>
      <c r="N528" s="198">
        <f t="shared" si="621"/>
        <v>0</v>
      </c>
      <c r="O528" s="198">
        <f t="shared" si="621"/>
        <v>0</v>
      </c>
      <c r="P528" s="198">
        <f t="shared" si="621"/>
        <v>5759468</v>
      </c>
      <c r="Q528" s="198">
        <f t="shared" si="621"/>
        <v>4408686.72</v>
      </c>
      <c r="R528" s="198">
        <f t="shared" si="621"/>
        <v>3122434.19</v>
      </c>
      <c r="S528" s="198">
        <f t="shared" si="621"/>
        <v>0</v>
      </c>
      <c r="T528" s="198">
        <f t="shared" si="621"/>
        <v>0</v>
      </c>
      <c r="U528" s="198">
        <f t="shared" si="621"/>
        <v>0</v>
      </c>
      <c r="V528" s="198">
        <f t="shared" si="614"/>
        <v>5759468</v>
      </c>
      <c r="W528" s="198">
        <f t="shared" si="614"/>
        <v>4408686.72</v>
      </c>
      <c r="X528" s="198">
        <f t="shared" si="614"/>
        <v>3122434.19</v>
      </c>
    </row>
    <row r="529" spans="1:24" ht="38.25">
      <c r="A529" s="199" t="s">
        <v>230</v>
      </c>
      <c r="B529" s="200" t="s">
        <v>402</v>
      </c>
      <c r="C529" s="200" t="s">
        <v>13</v>
      </c>
      <c r="D529" s="200" t="s">
        <v>30</v>
      </c>
      <c r="E529" s="200"/>
      <c r="F529" s="200"/>
      <c r="G529" s="200"/>
      <c r="H529" s="200"/>
      <c r="I529" s="201"/>
      <c r="J529" s="202">
        <f t="shared" ref="J529:O544" si="622">J530</f>
        <v>5689468</v>
      </c>
      <c r="K529" s="202">
        <f t="shared" si="622"/>
        <v>4338686.72</v>
      </c>
      <c r="L529" s="202">
        <f t="shared" si="622"/>
        <v>3052434.19</v>
      </c>
      <c r="M529" s="202">
        <f t="shared" si="622"/>
        <v>0</v>
      </c>
      <c r="N529" s="202">
        <f t="shared" si="622"/>
        <v>0</v>
      </c>
      <c r="O529" s="202">
        <f t="shared" si="622"/>
        <v>0</v>
      </c>
      <c r="P529" s="202">
        <f>P530</f>
        <v>5689468</v>
      </c>
      <c r="Q529" s="202">
        <f t="shared" ref="Q529:U544" si="623">Q530</f>
        <v>4338686.72</v>
      </c>
      <c r="R529" s="202">
        <f t="shared" si="623"/>
        <v>3052434.19</v>
      </c>
      <c r="S529" s="202">
        <f t="shared" si="623"/>
        <v>0</v>
      </c>
      <c r="T529" s="202">
        <f t="shared" si="623"/>
        <v>0</v>
      </c>
      <c r="U529" s="202">
        <f t="shared" si="623"/>
        <v>0</v>
      </c>
      <c r="V529" s="202">
        <f t="shared" si="614"/>
        <v>5689468</v>
      </c>
      <c r="W529" s="202">
        <f t="shared" si="614"/>
        <v>4338686.72</v>
      </c>
      <c r="X529" s="202">
        <f t="shared" si="614"/>
        <v>3052434.19</v>
      </c>
    </row>
    <row r="530" spans="1:24">
      <c r="A530" s="203" t="s">
        <v>290</v>
      </c>
      <c r="B530" s="204" t="s">
        <v>402</v>
      </c>
      <c r="C530" s="204" t="s">
        <v>13</v>
      </c>
      <c r="D530" s="204" t="s">
        <v>30</v>
      </c>
      <c r="E530" s="204" t="s">
        <v>214</v>
      </c>
      <c r="F530" s="204" t="s">
        <v>70</v>
      </c>
      <c r="G530" s="204" t="s">
        <v>148</v>
      </c>
      <c r="H530" s="204" t="s">
        <v>149</v>
      </c>
      <c r="I530" s="205"/>
      <c r="J530" s="206">
        <f>J537+J543+J546+J531+J534+J540</f>
        <v>5689468</v>
      </c>
      <c r="K530" s="206">
        <f t="shared" ref="K530:O530" si="624">K537+K543+K546+K531+K534+K540</f>
        <v>4338686.72</v>
      </c>
      <c r="L530" s="206">
        <f t="shared" si="624"/>
        <v>3052434.19</v>
      </c>
      <c r="M530" s="206">
        <f t="shared" si="624"/>
        <v>0</v>
      </c>
      <c r="N530" s="206">
        <f t="shared" si="624"/>
        <v>0</v>
      </c>
      <c r="O530" s="206">
        <f t="shared" si="624"/>
        <v>0</v>
      </c>
      <c r="P530" s="206">
        <f>P531+P534+P537+P540+P543+P546</f>
        <v>5689468</v>
      </c>
      <c r="Q530" s="206">
        <f t="shared" ref="Q530:R530" si="625">Q531+Q534+Q537+Q540+Q543+Q546</f>
        <v>4338686.72</v>
      </c>
      <c r="R530" s="206">
        <f t="shared" si="625"/>
        <v>3052434.19</v>
      </c>
      <c r="S530" s="206">
        <f t="shared" ref="S530:U530" si="626">S537+S543+S546+S531+S534+S540</f>
        <v>0</v>
      </c>
      <c r="T530" s="206">
        <f t="shared" si="626"/>
        <v>0</v>
      </c>
      <c r="U530" s="206">
        <f t="shared" si="626"/>
        <v>0</v>
      </c>
      <c r="V530" s="206">
        <f t="shared" si="614"/>
        <v>5689468</v>
      </c>
      <c r="W530" s="206">
        <f t="shared" si="614"/>
        <v>4338686.72</v>
      </c>
      <c r="X530" s="206">
        <f t="shared" si="614"/>
        <v>3052434.19</v>
      </c>
    </row>
    <row r="531" spans="1:24" ht="25.5">
      <c r="A531" s="203" t="s">
        <v>334</v>
      </c>
      <c r="B531" s="204" t="s">
        <v>402</v>
      </c>
      <c r="C531" s="204" t="s">
        <v>13</v>
      </c>
      <c r="D531" s="204" t="s">
        <v>30</v>
      </c>
      <c r="E531" s="204" t="s">
        <v>214</v>
      </c>
      <c r="F531" s="204" t="s">
        <v>70</v>
      </c>
      <c r="G531" s="204" t="s">
        <v>148</v>
      </c>
      <c r="H531" s="204" t="s">
        <v>333</v>
      </c>
      <c r="I531" s="205"/>
      <c r="J531" s="206">
        <f>J532</f>
        <v>300000</v>
      </c>
      <c r="K531" s="206">
        <f t="shared" ref="K531:O532" si="627">K532</f>
        <v>300000</v>
      </c>
      <c r="L531" s="206">
        <f t="shared" si="627"/>
        <v>300000</v>
      </c>
      <c r="M531" s="206">
        <f t="shared" si="627"/>
        <v>0</v>
      </c>
      <c r="N531" s="206">
        <f t="shared" si="627"/>
        <v>0</v>
      </c>
      <c r="O531" s="206">
        <f t="shared" si="627"/>
        <v>0</v>
      </c>
      <c r="P531" s="206">
        <f>P532</f>
        <v>300000</v>
      </c>
      <c r="Q531" s="206">
        <f t="shared" ref="Q531:U532" si="628">Q532</f>
        <v>300000</v>
      </c>
      <c r="R531" s="206">
        <f t="shared" si="628"/>
        <v>300000</v>
      </c>
      <c r="S531" s="206">
        <f t="shared" si="628"/>
        <v>0</v>
      </c>
      <c r="T531" s="206">
        <f t="shared" si="628"/>
        <v>0</v>
      </c>
      <c r="U531" s="206">
        <f t="shared" si="628"/>
        <v>0</v>
      </c>
      <c r="V531" s="206">
        <f t="shared" si="614"/>
        <v>300000</v>
      </c>
      <c r="W531" s="206">
        <f t="shared" si="614"/>
        <v>300000</v>
      </c>
      <c r="X531" s="206">
        <f t="shared" si="614"/>
        <v>300000</v>
      </c>
    </row>
    <row r="532" spans="1:24" ht="25.5">
      <c r="A532" s="189" t="s">
        <v>260</v>
      </c>
      <c r="B532" s="204" t="s">
        <v>402</v>
      </c>
      <c r="C532" s="204" t="s">
        <v>13</v>
      </c>
      <c r="D532" s="204" t="s">
        <v>30</v>
      </c>
      <c r="E532" s="204" t="s">
        <v>214</v>
      </c>
      <c r="F532" s="204" t="s">
        <v>70</v>
      </c>
      <c r="G532" s="204" t="s">
        <v>148</v>
      </c>
      <c r="H532" s="204" t="s">
        <v>333</v>
      </c>
      <c r="I532" s="205" t="s">
        <v>94</v>
      </c>
      <c r="J532" s="206">
        <f>J533</f>
        <v>300000</v>
      </c>
      <c r="K532" s="206">
        <f t="shared" si="627"/>
        <v>300000</v>
      </c>
      <c r="L532" s="206">
        <f t="shared" si="627"/>
        <v>300000</v>
      </c>
      <c r="M532" s="206">
        <f t="shared" si="627"/>
        <v>0</v>
      </c>
      <c r="N532" s="206">
        <f t="shared" si="627"/>
        <v>0</v>
      </c>
      <c r="O532" s="206">
        <f t="shared" si="627"/>
        <v>0</v>
      </c>
      <c r="P532" s="206">
        <f>P533</f>
        <v>300000</v>
      </c>
      <c r="Q532" s="206">
        <f t="shared" si="628"/>
        <v>300000</v>
      </c>
      <c r="R532" s="206">
        <f t="shared" si="628"/>
        <v>300000</v>
      </c>
      <c r="S532" s="206">
        <f t="shared" si="628"/>
        <v>0</v>
      </c>
      <c r="T532" s="206">
        <f t="shared" si="628"/>
        <v>0</v>
      </c>
      <c r="U532" s="206">
        <f t="shared" si="628"/>
        <v>0</v>
      </c>
      <c r="V532" s="206">
        <f t="shared" si="614"/>
        <v>300000</v>
      </c>
      <c r="W532" s="206">
        <f t="shared" si="614"/>
        <v>300000</v>
      </c>
      <c r="X532" s="206">
        <f t="shared" si="614"/>
        <v>300000</v>
      </c>
    </row>
    <row r="533" spans="1:24" ht="25.5">
      <c r="A533" s="188" t="s">
        <v>98</v>
      </c>
      <c r="B533" s="204" t="s">
        <v>402</v>
      </c>
      <c r="C533" s="204" t="s">
        <v>13</v>
      </c>
      <c r="D533" s="204" t="s">
        <v>30</v>
      </c>
      <c r="E533" s="204" t="s">
        <v>214</v>
      </c>
      <c r="F533" s="204" t="s">
        <v>70</v>
      </c>
      <c r="G533" s="204" t="s">
        <v>148</v>
      </c>
      <c r="H533" s="204" t="s">
        <v>333</v>
      </c>
      <c r="I533" s="205" t="s">
        <v>95</v>
      </c>
      <c r="J533" s="206">
        <v>300000</v>
      </c>
      <c r="K533" s="206">
        <v>300000</v>
      </c>
      <c r="L533" s="206">
        <v>300000</v>
      </c>
      <c r="M533" s="206"/>
      <c r="N533" s="206"/>
      <c r="O533" s="206"/>
      <c r="P533" s="206">
        <f>P908</f>
        <v>300000</v>
      </c>
      <c r="Q533" s="206">
        <f t="shared" ref="Q533:U533" si="629">Q908</f>
        <v>300000</v>
      </c>
      <c r="R533" s="206">
        <f t="shared" si="629"/>
        <v>300000</v>
      </c>
      <c r="S533" s="206">
        <f t="shared" si="629"/>
        <v>0</v>
      </c>
      <c r="T533" s="206">
        <f t="shared" si="629"/>
        <v>0</v>
      </c>
      <c r="U533" s="206">
        <f t="shared" si="629"/>
        <v>0</v>
      </c>
      <c r="V533" s="206">
        <f t="shared" si="614"/>
        <v>300000</v>
      </c>
      <c r="W533" s="206">
        <f t="shared" si="614"/>
        <v>300000</v>
      </c>
      <c r="X533" s="206">
        <f t="shared" si="614"/>
        <v>300000</v>
      </c>
    </row>
    <row r="534" spans="1:24">
      <c r="A534" s="190" t="s">
        <v>336</v>
      </c>
      <c r="B534" s="204" t="s">
        <v>402</v>
      </c>
      <c r="C534" s="204" t="s">
        <v>13</v>
      </c>
      <c r="D534" s="204" t="s">
        <v>30</v>
      </c>
      <c r="E534" s="204" t="s">
        <v>214</v>
      </c>
      <c r="F534" s="204" t="s">
        <v>70</v>
      </c>
      <c r="G534" s="204" t="s">
        <v>148</v>
      </c>
      <c r="H534" s="204" t="s">
        <v>335</v>
      </c>
      <c r="I534" s="205"/>
      <c r="J534" s="206">
        <f>J535</f>
        <v>3630468</v>
      </c>
      <c r="K534" s="206">
        <f t="shared" ref="K534:O535" si="630">K535</f>
        <v>3643686.7199999997</v>
      </c>
      <c r="L534" s="206">
        <f t="shared" si="630"/>
        <v>2357434.19</v>
      </c>
      <c r="M534" s="206">
        <f t="shared" si="630"/>
        <v>0</v>
      </c>
      <c r="N534" s="206">
        <f t="shared" si="630"/>
        <v>0</v>
      </c>
      <c r="O534" s="206">
        <f t="shared" si="630"/>
        <v>0</v>
      </c>
      <c r="P534" s="206">
        <f>P535</f>
        <v>3630468</v>
      </c>
      <c r="Q534" s="206">
        <f t="shared" ref="Q534:U535" si="631">Q535</f>
        <v>3643686.7199999997</v>
      </c>
      <c r="R534" s="206">
        <f t="shared" si="631"/>
        <v>2357434.19</v>
      </c>
      <c r="S534" s="206">
        <f t="shared" si="631"/>
        <v>0</v>
      </c>
      <c r="T534" s="206">
        <f t="shared" si="631"/>
        <v>0</v>
      </c>
      <c r="U534" s="206">
        <f t="shared" si="631"/>
        <v>0</v>
      </c>
      <c r="V534" s="206">
        <f t="shared" si="614"/>
        <v>3630468</v>
      </c>
      <c r="W534" s="206">
        <f t="shared" si="614"/>
        <v>3643686.7199999997</v>
      </c>
      <c r="X534" s="206">
        <f t="shared" si="614"/>
        <v>2357434.19</v>
      </c>
    </row>
    <row r="535" spans="1:24" ht="25.5">
      <c r="A535" s="189" t="s">
        <v>260</v>
      </c>
      <c r="B535" s="204" t="s">
        <v>402</v>
      </c>
      <c r="C535" s="204" t="s">
        <v>13</v>
      </c>
      <c r="D535" s="204" t="s">
        <v>30</v>
      </c>
      <c r="E535" s="204" t="s">
        <v>214</v>
      </c>
      <c r="F535" s="204" t="s">
        <v>70</v>
      </c>
      <c r="G535" s="204" t="s">
        <v>148</v>
      </c>
      <c r="H535" s="204" t="s">
        <v>335</v>
      </c>
      <c r="I535" s="205" t="s">
        <v>94</v>
      </c>
      <c r="J535" s="206">
        <f>J536</f>
        <v>3630468</v>
      </c>
      <c r="K535" s="206">
        <f t="shared" si="630"/>
        <v>3643686.7199999997</v>
      </c>
      <c r="L535" s="206">
        <f t="shared" si="630"/>
        <v>2357434.19</v>
      </c>
      <c r="M535" s="206">
        <f t="shared" si="630"/>
        <v>0</v>
      </c>
      <c r="N535" s="206">
        <f t="shared" si="630"/>
        <v>0</v>
      </c>
      <c r="O535" s="206">
        <f t="shared" si="630"/>
        <v>0</v>
      </c>
      <c r="P535" s="206">
        <f>P536</f>
        <v>3630468</v>
      </c>
      <c r="Q535" s="206">
        <f t="shared" si="631"/>
        <v>3643686.7199999997</v>
      </c>
      <c r="R535" s="206">
        <f t="shared" si="631"/>
        <v>2357434.19</v>
      </c>
      <c r="S535" s="206">
        <f t="shared" si="631"/>
        <v>0</v>
      </c>
      <c r="T535" s="206">
        <f t="shared" si="631"/>
        <v>0</v>
      </c>
      <c r="U535" s="206">
        <f t="shared" si="631"/>
        <v>0</v>
      </c>
      <c r="V535" s="206">
        <f t="shared" si="614"/>
        <v>3630468</v>
      </c>
      <c r="W535" s="206">
        <f t="shared" si="614"/>
        <v>3643686.7199999997</v>
      </c>
      <c r="X535" s="206">
        <f t="shared" si="614"/>
        <v>2357434.19</v>
      </c>
    </row>
    <row r="536" spans="1:24" ht="25.5">
      <c r="A536" s="188" t="s">
        <v>98</v>
      </c>
      <c r="B536" s="204" t="s">
        <v>402</v>
      </c>
      <c r="C536" s="204" t="s">
        <v>13</v>
      </c>
      <c r="D536" s="204" t="s">
        <v>30</v>
      </c>
      <c r="E536" s="204" t="s">
        <v>214</v>
      </c>
      <c r="F536" s="204" t="s">
        <v>70</v>
      </c>
      <c r="G536" s="204" t="s">
        <v>148</v>
      </c>
      <c r="H536" s="204" t="s">
        <v>335</v>
      </c>
      <c r="I536" s="205" t="s">
        <v>95</v>
      </c>
      <c r="J536" s="206">
        <f>3300000+330468</f>
        <v>3630468</v>
      </c>
      <c r="K536" s="206">
        <f>3300000+343686.72</f>
        <v>3643686.7199999997</v>
      </c>
      <c r="L536" s="206">
        <f>2000000+357434.19</f>
        <v>2357434.19</v>
      </c>
      <c r="M536" s="206"/>
      <c r="N536" s="206"/>
      <c r="O536" s="206"/>
      <c r="P536" s="206">
        <f>P911+P1178+P1246+P1301+P1361+P1425+P1477+P1539+P1587+P1637+P1690</f>
        <v>3630468</v>
      </c>
      <c r="Q536" s="206">
        <f t="shared" ref="Q536:U536" si="632">Q911+Q1178+Q1246+Q1301+Q1361+Q1425+Q1477+Q1539+Q1587+Q1637+Q1690</f>
        <v>3643686.7199999997</v>
      </c>
      <c r="R536" s="206">
        <f t="shared" si="632"/>
        <v>2357434.19</v>
      </c>
      <c r="S536" s="206">
        <f t="shared" si="632"/>
        <v>0</v>
      </c>
      <c r="T536" s="206">
        <f t="shared" si="632"/>
        <v>0</v>
      </c>
      <c r="U536" s="206">
        <f t="shared" si="632"/>
        <v>0</v>
      </c>
      <c r="V536" s="206">
        <f t="shared" si="614"/>
        <v>3630468</v>
      </c>
      <c r="W536" s="206">
        <f t="shared" si="614"/>
        <v>3643686.7199999997</v>
      </c>
      <c r="X536" s="206">
        <f t="shared" si="614"/>
        <v>2357434.19</v>
      </c>
    </row>
    <row r="537" spans="1:24" ht="25.5">
      <c r="A537" s="203" t="s">
        <v>337</v>
      </c>
      <c r="B537" s="204" t="s">
        <v>402</v>
      </c>
      <c r="C537" s="204" t="s">
        <v>13</v>
      </c>
      <c r="D537" s="204" t="s">
        <v>30</v>
      </c>
      <c r="E537" s="204" t="s">
        <v>214</v>
      </c>
      <c r="F537" s="204" t="s">
        <v>70</v>
      </c>
      <c r="G537" s="204" t="s">
        <v>148</v>
      </c>
      <c r="H537" s="204" t="s">
        <v>266</v>
      </c>
      <c r="I537" s="205"/>
      <c r="J537" s="206">
        <f>J538</f>
        <v>40000</v>
      </c>
      <c r="K537" s="206">
        <f t="shared" ref="K537:O538" si="633">K538</f>
        <v>40000</v>
      </c>
      <c r="L537" s="206">
        <f t="shared" si="633"/>
        <v>40000</v>
      </c>
      <c r="M537" s="206">
        <f t="shared" si="633"/>
        <v>0</v>
      </c>
      <c r="N537" s="206">
        <f t="shared" si="633"/>
        <v>0</v>
      </c>
      <c r="O537" s="206">
        <f t="shared" si="633"/>
        <v>0</v>
      </c>
      <c r="P537" s="206">
        <f>P538</f>
        <v>40000</v>
      </c>
      <c r="Q537" s="206">
        <f t="shared" ref="Q537:U538" si="634">Q538</f>
        <v>40000</v>
      </c>
      <c r="R537" s="206">
        <f t="shared" si="634"/>
        <v>40000</v>
      </c>
      <c r="S537" s="206">
        <f t="shared" si="634"/>
        <v>0</v>
      </c>
      <c r="T537" s="206">
        <f t="shared" si="634"/>
        <v>0</v>
      </c>
      <c r="U537" s="206">
        <f t="shared" si="634"/>
        <v>0</v>
      </c>
      <c r="V537" s="206">
        <f t="shared" si="614"/>
        <v>40000</v>
      </c>
      <c r="W537" s="206">
        <f t="shared" si="614"/>
        <v>40000</v>
      </c>
      <c r="X537" s="206">
        <f t="shared" si="614"/>
        <v>40000</v>
      </c>
    </row>
    <row r="538" spans="1:24" ht="25.5">
      <c r="A538" s="189" t="s">
        <v>260</v>
      </c>
      <c r="B538" s="204" t="s">
        <v>402</v>
      </c>
      <c r="C538" s="204" t="s">
        <v>13</v>
      </c>
      <c r="D538" s="204" t="s">
        <v>30</v>
      </c>
      <c r="E538" s="204" t="s">
        <v>214</v>
      </c>
      <c r="F538" s="204" t="s">
        <v>70</v>
      </c>
      <c r="G538" s="204" t="s">
        <v>148</v>
      </c>
      <c r="H538" s="204" t="s">
        <v>266</v>
      </c>
      <c r="I538" s="205" t="s">
        <v>94</v>
      </c>
      <c r="J538" s="206">
        <f>J539</f>
        <v>40000</v>
      </c>
      <c r="K538" s="206">
        <f t="shared" si="633"/>
        <v>40000</v>
      </c>
      <c r="L538" s="206">
        <f t="shared" si="633"/>
        <v>40000</v>
      </c>
      <c r="M538" s="206">
        <f t="shared" si="633"/>
        <v>0</v>
      </c>
      <c r="N538" s="206">
        <f t="shared" si="633"/>
        <v>0</v>
      </c>
      <c r="O538" s="206">
        <f t="shared" si="633"/>
        <v>0</v>
      </c>
      <c r="P538" s="206">
        <f>P539</f>
        <v>40000</v>
      </c>
      <c r="Q538" s="206">
        <f t="shared" si="634"/>
        <v>40000</v>
      </c>
      <c r="R538" s="206">
        <f t="shared" si="634"/>
        <v>40000</v>
      </c>
      <c r="S538" s="206">
        <f t="shared" si="634"/>
        <v>0</v>
      </c>
      <c r="T538" s="206">
        <f t="shared" si="634"/>
        <v>0</v>
      </c>
      <c r="U538" s="206">
        <f t="shared" si="634"/>
        <v>0</v>
      </c>
      <c r="V538" s="206">
        <f t="shared" si="614"/>
        <v>40000</v>
      </c>
      <c r="W538" s="206">
        <f t="shared" si="614"/>
        <v>40000</v>
      </c>
      <c r="X538" s="206">
        <f t="shared" si="614"/>
        <v>40000</v>
      </c>
    </row>
    <row r="539" spans="1:24" ht="25.5">
      <c r="A539" s="188" t="s">
        <v>98</v>
      </c>
      <c r="B539" s="204" t="s">
        <v>402</v>
      </c>
      <c r="C539" s="204" t="s">
        <v>13</v>
      </c>
      <c r="D539" s="204" t="s">
        <v>30</v>
      </c>
      <c r="E539" s="204" t="s">
        <v>214</v>
      </c>
      <c r="F539" s="204" t="s">
        <v>70</v>
      </c>
      <c r="G539" s="204" t="s">
        <v>148</v>
      </c>
      <c r="H539" s="204" t="s">
        <v>266</v>
      </c>
      <c r="I539" s="205" t="s">
        <v>95</v>
      </c>
      <c r="J539" s="206">
        <v>40000</v>
      </c>
      <c r="K539" s="206">
        <v>40000</v>
      </c>
      <c r="L539" s="206">
        <v>40000</v>
      </c>
      <c r="M539" s="206"/>
      <c r="N539" s="206"/>
      <c r="O539" s="206"/>
      <c r="P539" s="206">
        <f>P914</f>
        <v>40000</v>
      </c>
      <c r="Q539" s="206">
        <f t="shared" ref="Q539:U539" si="635">Q914</f>
        <v>40000</v>
      </c>
      <c r="R539" s="206">
        <f t="shared" si="635"/>
        <v>40000</v>
      </c>
      <c r="S539" s="206">
        <f t="shared" si="635"/>
        <v>0</v>
      </c>
      <c r="T539" s="206">
        <f t="shared" si="635"/>
        <v>0</v>
      </c>
      <c r="U539" s="206">
        <f t="shared" si="635"/>
        <v>0</v>
      </c>
      <c r="V539" s="206">
        <f t="shared" ref="V539:X562" si="636">P539+S539</f>
        <v>40000</v>
      </c>
      <c r="W539" s="206">
        <f t="shared" si="636"/>
        <v>40000</v>
      </c>
      <c r="X539" s="206">
        <f t="shared" si="636"/>
        <v>40000</v>
      </c>
    </row>
    <row r="540" spans="1:24">
      <c r="A540" s="188" t="s">
        <v>339</v>
      </c>
      <c r="B540" s="204" t="s">
        <v>402</v>
      </c>
      <c r="C540" s="204" t="s">
        <v>13</v>
      </c>
      <c r="D540" s="204" t="s">
        <v>30</v>
      </c>
      <c r="E540" s="204" t="s">
        <v>214</v>
      </c>
      <c r="F540" s="204" t="s">
        <v>70</v>
      </c>
      <c r="G540" s="204" t="s">
        <v>148</v>
      </c>
      <c r="H540" s="204" t="s">
        <v>338</v>
      </c>
      <c r="I540" s="205"/>
      <c r="J540" s="206">
        <f>J541</f>
        <v>155000</v>
      </c>
      <c r="K540" s="206">
        <f t="shared" ref="K540:O541" si="637">K541</f>
        <v>155000</v>
      </c>
      <c r="L540" s="206">
        <f t="shared" si="637"/>
        <v>155000</v>
      </c>
      <c r="M540" s="206">
        <f t="shared" si="637"/>
        <v>0</v>
      </c>
      <c r="N540" s="206">
        <f t="shared" si="637"/>
        <v>0</v>
      </c>
      <c r="O540" s="206">
        <f t="shared" si="637"/>
        <v>0</v>
      </c>
      <c r="P540" s="206">
        <f>P541</f>
        <v>155000</v>
      </c>
      <c r="Q540" s="206">
        <f t="shared" ref="Q540:U541" si="638">Q541</f>
        <v>155000</v>
      </c>
      <c r="R540" s="206">
        <f t="shared" si="638"/>
        <v>155000</v>
      </c>
      <c r="S540" s="206">
        <f t="shared" si="638"/>
        <v>0</v>
      </c>
      <c r="T540" s="206">
        <f t="shared" si="638"/>
        <v>0</v>
      </c>
      <c r="U540" s="206">
        <f t="shared" si="638"/>
        <v>0</v>
      </c>
      <c r="V540" s="206">
        <f t="shared" si="636"/>
        <v>155000</v>
      </c>
      <c r="W540" s="206">
        <f t="shared" si="636"/>
        <v>155000</v>
      </c>
      <c r="X540" s="206">
        <f t="shared" si="636"/>
        <v>155000</v>
      </c>
    </row>
    <row r="541" spans="1:24" ht="25.5">
      <c r="A541" s="189" t="s">
        <v>260</v>
      </c>
      <c r="B541" s="204" t="s">
        <v>402</v>
      </c>
      <c r="C541" s="204" t="s">
        <v>13</v>
      </c>
      <c r="D541" s="204" t="s">
        <v>30</v>
      </c>
      <c r="E541" s="204" t="s">
        <v>214</v>
      </c>
      <c r="F541" s="204" t="s">
        <v>70</v>
      </c>
      <c r="G541" s="204" t="s">
        <v>148</v>
      </c>
      <c r="H541" s="204" t="s">
        <v>338</v>
      </c>
      <c r="I541" s="205" t="s">
        <v>94</v>
      </c>
      <c r="J541" s="206">
        <f>J542</f>
        <v>155000</v>
      </c>
      <c r="K541" s="206">
        <f t="shared" si="637"/>
        <v>155000</v>
      </c>
      <c r="L541" s="206">
        <f t="shared" si="637"/>
        <v>155000</v>
      </c>
      <c r="M541" s="206">
        <f t="shared" si="637"/>
        <v>0</v>
      </c>
      <c r="N541" s="206">
        <f t="shared" si="637"/>
        <v>0</v>
      </c>
      <c r="O541" s="206">
        <f t="shared" si="637"/>
        <v>0</v>
      </c>
      <c r="P541" s="206">
        <f>P542</f>
        <v>155000</v>
      </c>
      <c r="Q541" s="206">
        <f t="shared" si="638"/>
        <v>155000</v>
      </c>
      <c r="R541" s="206">
        <f t="shared" si="638"/>
        <v>155000</v>
      </c>
      <c r="S541" s="206">
        <f t="shared" si="638"/>
        <v>0</v>
      </c>
      <c r="T541" s="206">
        <f t="shared" si="638"/>
        <v>0</v>
      </c>
      <c r="U541" s="206">
        <f t="shared" si="638"/>
        <v>0</v>
      </c>
      <c r="V541" s="206">
        <f t="shared" si="636"/>
        <v>155000</v>
      </c>
      <c r="W541" s="206">
        <f t="shared" si="636"/>
        <v>155000</v>
      </c>
      <c r="X541" s="206">
        <f t="shared" si="636"/>
        <v>155000</v>
      </c>
    </row>
    <row r="542" spans="1:24" ht="25.5">
      <c r="A542" s="188" t="s">
        <v>98</v>
      </c>
      <c r="B542" s="204" t="s">
        <v>402</v>
      </c>
      <c r="C542" s="204" t="s">
        <v>13</v>
      </c>
      <c r="D542" s="204" t="s">
        <v>30</v>
      </c>
      <c r="E542" s="204" t="s">
        <v>214</v>
      </c>
      <c r="F542" s="204" t="s">
        <v>70</v>
      </c>
      <c r="G542" s="204" t="s">
        <v>148</v>
      </c>
      <c r="H542" s="204" t="s">
        <v>338</v>
      </c>
      <c r="I542" s="205" t="s">
        <v>95</v>
      </c>
      <c r="J542" s="206">
        <v>155000</v>
      </c>
      <c r="K542" s="206">
        <v>155000</v>
      </c>
      <c r="L542" s="206">
        <v>155000</v>
      </c>
      <c r="M542" s="206"/>
      <c r="N542" s="206"/>
      <c r="O542" s="206"/>
      <c r="P542" s="206">
        <f>P917</f>
        <v>155000</v>
      </c>
      <c r="Q542" s="206">
        <f t="shared" ref="Q542:U542" si="639">Q917</f>
        <v>155000</v>
      </c>
      <c r="R542" s="206">
        <f t="shared" si="639"/>
        <v>155000</v>
      </c>
      <c r="S542" s="206">
        <f t="shared" si="639"/>
        <v>0</v>
      </c>
      <c r="T542" s="206">
        <f t="shared" si="639"/>
        <v>0</v>
      </c>
      <c r="U542" s="206">
        <f t="shared" si="639"/>
        <v>0</v>
      </c>
      <c r="V542" s="206">
        <f t="shared" si="636"/>
        <v>155000</v>
      </c>
      <c r="W542" s="206">
        <f t="shared" si="636"/>
        <v>155000</v>
      </c>
      <c r="X542" s="206">
        <f t="shared" si="636"/>
        <v>155000</v>
      </c>
    </row>
    <row r="543" spans="1:24">
      <c r="A543" s="207" t="s">
        <v>332</v>
      </c>
      <c r="B543" s="204" t="s">
        <v>402</v>
      </c>
      <c r="C543" s="204" t="s">
        <v>13</v>
      </c>
      <c r="D543" s="204" t="s">
        <v>30</v>
      </c>
      <c r="E543" s="204" t="s">
        <v>214</v>
      </c>
      <c r="F543" s="204" t="s">
        <v>70</v>
      </c>
      <c r="G543" s="204" t="s">
        <v>148</v>
      </c>
      <c r="H543" s="204" t="s">
        <v>185</v>
      </c>
      <c r="I543" s="205"/>
      <c r="J543" s="206">
        <f t="shared" si="622"/>
        <v>200000</v>
      </c>
      <c r="K543" s="206">
        <f t="shared" si="622"/>
        <v>200000</v>
      </c>
      <c r="L543" s="206">
        <f t="shared" si="622"/>
        <v>200000</v>
      </c>
      <c r="M543" s="206">
        <f t="shared" si="622"/>
        <v>0</v>
      </c>
      <c r="N543" s="206">
        <f t="shared" si="622"/>
        <v>0</v>
      </c>
      <c r="O543" s="206">
        <f t="shared" si="622"/>
        <v>0</v>
      </c>
      <c r="P543" s="206">
        <f>P544</f>
        <v>200000</v>
      </c>
      <c r="Q543" s="206">
        <f t="shared" ref="Q543:R544" si="640">Q544</f>
        <v>200000</v>
      </c>
      <c r="R543" s="206">
        <f t="shared" si="640"/>
        <v>200000</v>
      </c>
      <c r="S543" s="206">
        <f t="shared" si="623"/>
        <v>0</v>
      </c>
      <c r="T543" s="206">
        <f t="shared" si="623"/>
        <v>0</v>
      </c>
      <c r="U543" s="206">
        <f t="shared" si="623"/>
        <v>0</v>
      </c>
      <c r="V543" s="206">
        <f t="shared" si="636"/>
        <v>200000</v>
      </c>
      <c r="W543" s="206">
        <f t="shared" si="636"/>
        <v>200000</v>
      </c>
      <c r="X543" s="206">
        <f t="shared" si="636"/>
        <v>200000</v>
      </c>
    </row>
    <row r="544" spans="1:24">
      <c r="A544" s="9" t="s">
        <v>80</v>
      </c>
      <c r="B544" s="204" t="s">
        <v>402</v>
      </c>
      <c r="C544" s="204" t="s">
        <v>13</v>
      </c>
      <c r="D544" s="204" t="s">
        <v>30</v>
      </c>
      <c r="E544" s="204" t="s">
        <v>214</v>
      </c>
      <c r="F544" s="204" t="s">
        <v>70</v>
      </c>
      <c r="G544" s="204" t="s">
        <v>148</v>
      </c>
      <c r="H544" s="204" t="s">
        <v>185</v>
      </c>
      <c r="I544" s="205" t="s">
        <v>77</v>
      </c>
      <c r="J544" s="206">
        <f t="shared" si="622"/>
        <v>200000</v>
      </c>
      <c r="K544" s="206">
        <f t="shared" si="622"/>
        <v>200000</v>
      </c>
      <c r="L544" s="206">
        <f t="shared" si="622"/>
        <v>200000</v>
      </c>
      <c r="M544" s="206">
        <f t="shared" si="622"/>
        <v>0</v>
      </c>
      <c r="N544" s="206">
        <f t="shared" si="622"/>
        <v>0</v>
      </c>
      <c r="O544" s="206">
        <f t="shared" si="622"/>
        <v>0</v>
      </c>
      <c r="P544" s="206">
        <f>P545</f>
        <v>200000</v>
      </c>
      <c r="Q544" s="206">
        <f t="shared" si="640"/>
        <v>200000</v>
      </c>
      <c r="R544" s="206">
        <f t="shared" si="640"/>
        <v>200000</v>
      </c>
      <c r="S544" s="206">
        <f t="shared" si="623"/>
        <v>0</v>
      </c>
      <c r="T544" s="206">
        <f t="shared" si="623"/>
        <v>0</v>
      </c>
      <c r="U544" s="206">
        <f t="shared" si="623"/>
        <v>0</v>
      </c>
      <c r="V544" s="206">
        <f t="shared" si="636"/>
        <v>200000</v>
      </c>
      <c r="W544" s="206">
        <f t="shared" si="636"/>
        <v>200000</v>
      </c>
      <c r="X544" s="206">
        <f t="shared" si="636"/>
        <v>200000</v>
      </c>
    </row>
    <row r="545" spans="1:24">
      <c r="A545" s="9" t="s">
        <v>105</v>
      </c>
      <c r="B545" s="204" t="s">
        <v>402</v>
      </c>
      <c r="C545" s="204" t="s">
        <v>13</v>
      </c>
      <c r="D545" s="204" t="s">
        <v>30</v>
      </c>
      <c r="E545" s="204" t="s">
        <v>214</v>
      </c>
      <c r="F545" s="204" t="s">
        <v>70</v>
      </c>
      <c r="G545" s="204" t="s">
        <v>148</v>
      </c>
      <c r="H545" s="204" t="s">
        <v>185</v>
      </c>
      <c r="I545" s="205" t="s">
        <v>104</v>
      </c>
      <c r="J545" s="206">
        <v>200000</v>
      </c>
      <c r="K545" s="206">
        <v>200000</v>
      </c>
      <c r="L545" s="206">
        <v>200000</v>
      </c>
      <c r="M545" s="206"/>
      <c r="N545" s="206"/>
      <c r="O545" s="206"/>
      <c r="P545" s="206">
        <f>P920</f>
        <v>200000</v>
      </c>
      <c r="Q545" s="206">
        <f t="shared" ref="Q545:U545" si="641">Q920</f>
        <v>200000</v>
      </c>
      <c r="R545" s="206">
        <f t="shared" si="641"/>
        <v>200000</v>
      </c>
      <c r="S545" s="206">
        <f t="shared" si="641"/>
        <v>0</v>
      </c>
      <c r="T545" s="206">
        <f t="shared" si="641"/>
        <v>0</v>
      </c>
      <c r="U545" s="206">
        <f t="shared" si="641"/>
        <v>0</v>
      </c>
      <c r="V545" s="206">
        <f t="shared" si="636"/>
        <v>200000</v>
      </c>
      <c r="W545" s="206">
        <f t="shared" si="636"/>
        <v>200000</v>
      </c>
      <c r="X545" s="206">
        <f t="shared" si="636"/>
        <v>200000</v>
      </c>
    </row>
    <row r="546" spans="1:24" ht="25.5">
      <c r="A546" s="209" t="s">
        <v>312</v>
      </c>
      <c r="B546" s="204" t="s">
        <v>402</v>
      </c>
      <c r="C546" s="204" t="s">
        <v>13</v>
      </c>
      <c r="D546" s="204" t="s">
        <v>30</v>
      </c>
      <c r="E546" s="204" t="s">
        <v>214</v>
      </c>
      <c r="F546" s="204" t="s">
        <v>70</v>
      </c>
      <c r="G546" s="204" t="s">
        <v>148</v>
      </c>
      <c r="H546" s="204" t="s">
        <v>311</v>
      </c>
      <c r="I546" s="205"/>
      <c r="J546" s="206">
        <f>J547</f>
        <v>1364000</v>
      </c>
      <c r="K546" s="206">
        <f t="shared" ref="K546:O547" si="642">K547</f>
        <v>0</v>
      </c>
      <c r="L546" s="206">
        <f t="shared" si="642"/>
        <v>0</v>
      </c>
      <c r="M546" s="206">
        <f t="shared" si="642"/>
        <v>0</v>
      </c>
      <c r="N546" s="206">
        <f t="shared" si="642"/>
        <v>0</v>
      </c>
      <c r="O546" s="206">
        <f t="shared" si="642"/>
        <v>0</v>
      </c>
      <c r="P546" s="206">
        <f>P547</f>
        <v>1364000</v>
      </c>
      <c r="Q546" s="206">
        <f t="shared" ref="Q546:U547" si="643">Q547</f>
        <v>0</v>
      </c>
      <c r="R546" s="206">
        <f t="shared" si="643"/>
        <v>0</v>
      </c>
      <c r="S546" s="206">
        <f t="shared" si="643"/>
        <v>0</v>
      </c>
      <c r="T546" s="206">
        <f t="shared" si="643"/>
        <v>0</v>
      </c>
      <c r="U546" s="206">
        <f t="shared" si="643"/>
        <v>0</v>
      </c>
      <c r="V546" s="206">
        <f t="shared" si="636"/>
        <v>1364000</v>
      </c>
      <c r="W546" s="206">
        <f t="shared" si="636"/>
        <v>0</v>
      </c>
      <c r="X546" s="206">
        <f t="shared" si="636"/>
        <v>0</v>
      </c>
    </row>
    <row r="547" spans="1:24" ht="25.5">
      <c r="A547" s="189" t="s">
        <v>260</v>
      </c>
      <c r="B547" s="204" t="s">
        <v>402</v>
      </c>
      <c r="C547" s="204" t="s">
        <v>13</v>
      </c>
      <c r="D547" s="204" t="s">
        <v>30</v>
      </c>
      <c r="E547" s="204" t="s">
        <v>214</v>
      </c>
      <c r="F547" s="204" t="s">
        <v>70</v>
      </c>
      <c r="G547" s="204" t="s">
        <v>148</v>
      </c>
      <c r="H547" s="204" t="s">
        <v>311</v>
      </c>
      <c r="I547" s="205" t="s">
        <v>94</v>
      </c>
      <c r="J547" s="206">
        <f>J548</f>
        <v>1364000</v>
      </c>
      <c r="K547" s="206">
        <f t="shared" si="642"/>
        <v>0</v>
      </c>
      <c r="L547" s="206">
        <f t="shared" si="642"/>
        <v>0</v>
      </c>
      <c r="M547" s="206">
        <f t="shared" si="642"/>
        <v>0</v>
      </c>
      <c r="N547" s="206">
        <f t="shared" si="642"/>
        <v>0</v>
      </c>
      <c r="O547" s="206">
        <f t="shared" si="642"/>
        <v>0</v>
      </c>
      <c r="P547" s="206">
        <f>P548</f>
        <v>1364000</v>
      </c>
      <c r="Q547" s="206">
        <f t="shared" si="643"/>
        <v>0</v>
      </c>
      <c r="R547" s="206">
        <f t="shared" si="643"/>
        <v>0</v>
      </c>
      <c r="S547" s="206">
        <f t="shared" si="643"/>
        <v>0</v>
      </c>
      <c r="T547" s="206">
        <f t="shared" si="643"/>
        <v>0</v>
      </c>
      <c r="U547" s="206">
        <f t="shared" si="643"/>
        <v>0</v>
      </c>
      <c r="V547" s="206">
        <f t="shared" si="636"/>
        <v>1364000</v>
      </c>
      <c r="W547" s="206">
        <f t="shared" si="636"/>
        <v>0</v>
      </c>
      <c r="X547" s="206">
        <f t="shared" si="636"/>
        <v>0</v>
      </c>
    </row>
    <row r="548" spans="1:24" ht="25.5">
      <c r="A548" s="188" t="s">
        <v>98</v>
      </c>
      <c r="B548" s="204" t="s">
        <v>402</v>
      </c>
      <c r="C548" s="204" t="s">
        <v>13</v>
      </c>
      <c r="D548" s="204" t="s">
        <v>30</v>
      </c>
      <c r="E548" s="204" t="s">
        <v>214</v>
      </c>
      <c r="F548" s="204" t="s">
        <v>70</v>
      </c>
      <c r="G548" s="204" t="s">
        <v>148</v>
      </c>
      <c r="H548" s="204" t="s">
        <v>311</v>
      </c>
      <c r="I548" s="205" t="s">
        <v>95</v>
      </c>
      <c r="J548" s="206">
        <v>1364000</v>
      </c>
      <c r="K548" s="206"/>
      <c r="L548" s="206"/>
      <c r="M548" s="206"/>
      <c r="N548" s="206"/>
      <c r="O548" s="206"/>
      <c r="P548" s="206">
        <f>P1428+P1590+P1640</f>
        <v>1364000</v>
      </c>
      <c r="Q548" s="206">
        <f t="shared" ref="Q548:U548" si="644">Q1428+Q1590+Q1640</f>
        <v>0</v>
      </c>
      <c r="R548" s="206">
        <f t="shared" si="644"/>
        <v>0</v>
      </c>
      <c r="S548" s="206">
        <f t="shared" si="644"/>
        <v>0</v>
      </c>
      <c r="T548" s="206">
        <f t="shared" si="644"/>
        <v>0</v>
      </c>
      <c r="U548" s="206">
        <f t="shared" si="644"/>
        <v>0</v>
      </c>
      <c r="V548" s="206">
        <f t="shared" si="636"/>
        <v>1364000</v>
      </c>
      <c r="W548" s="206">
        <f t="shared" si="636"/>
        <v>0</v>
      </c>
      <c r="X548" s="206">
        <f t="shared" si="636"/>
        <v>0</v>
      </c>
    </row>
    <row r="549" spans="1:24">
      <c r="A549" s="190"/>
      <c r="B549" s="204"/>
      <c r="C549" s="204"/>
      <c r="D549" s="204"/>
      <c r="E549" s="204"/>
      <c r="F549" s="204"/>
      <c r="G549" s="204"/>
      <c r="H549" s="204"/>
      <c r="I549" s="205"/>
      <c r="J549" s="206"/>
      <c r="K549" s="206"/>
      <c r="L549" s="206"/>
      <c r="M549" s="206"/>
      <c r="N549" s="206"/>
      <c r="O549" s="206"/>
      <c r="P549" s="206"/>
      <c r="Q549" s="206"/>
      <c r="R549" s="206"/>
      <c r="S549" s="206"/>
      <c r="T549" s="206"/>
      <c r="U549" s="206"/>
      <c r="V549" s="206"/>
      <c r="W549" s="206"/>
      <c r="X549" s="206"/>
    </row>
    <row r="550" spans="1:24" ht="25.5">
      <c r="A550" s="199" t="s">
        <v>192</v>
      </c>
      <c r="B550" s="200" t="s">
        <v>402</v>
      </c>
      <c r="C550" s="200" t="s">
        <v>13</v>
      </c>
      <c r="D550" s="200" t="s">
        <v>29</v>
      </c>
      <c r="E550" s="204"/>
      <c r="F550" s="204"/>
      <c r="G550" s="204"/>
      <c r="H550" s="204"/>
      <c r="I550" s="205"/>
      <c r="J550" s="202">
        <f>J551+J555</f>
        <v>70000</v>
      </c>
      <c r="K550" s="202">
        <f t="shared" ref="K550:O550" si="645">K551+K555</f>
        <v>70000</v>
      </c>
      <c r="L550" s="202">
        <f t="shared" si="645"/>
        <v>70000</v>
      </c>
      <c r="M550" s="202">
        <f t="shared" si="645"/>
        <v>0</v>
      </c>
      <c r="N550" s="202">
        <f t="shared" si="645"/>
        <v>0</v>
      </c>
      <c r="O550" s="202">
        <f t="shared" si="645"/>
        <v>0</v>
      </c>
      <c r="P550" s="202">
        <f>P551+P555</f>
        <v>70000</v>
      </c>
      <c r="Q550" s="202">
        <f t="shared" ref="Q550:U550" si="646">Q551+Q555</f>
        <v>70000</v>
      </c>
      <c r="R550" s="202">
        <f t="shared" si="646"/>
        <v>70000</v>
      </c>
      <c r="S550" s="202">
        <f t="shared" si="646"/>
        <v>0</v>
      </c>
      <c r="T550" s="202">
        <f t="shared" si="646"/>
        <v>0</v>
      </c>
      <c r="U550" s="202">
        <f t="shared" si="646"/>
        <v>0</v>
      </c>
      <c r="V550" s="202">
        <f t="shared" si="636"/>
        <v>70000</v>
      </c>
      <c r="W550" s="202">
        <f t="shared" si="636"/>
        <v>70000</v>
      </c>
      <c r="X550" s="202">
        <f t="shared" si="636"/>
        <v>70000</v>
      </c>
    </row>
    <row r="551" spans="1:24" ht="38.25">
      <c r="A551" s="188" t="s">
        <v>342</v>
      </c>
      <c r="B551" s="3" t="s">
        <v>402</v>
      </c>
      <c r="C551" s="3" t="s">
        <v>13</v>
      </c>
      <c r="D551" s="3" t="s">
        <v>29</v>
      </c>
      <c r="E551" s="3" t="s">
        <v>29</v>
      </c>
      <c r="F551" s="3" t="s">
        <v>70</v>
      </c>
      <c r="G551" s="3" t="s">
        <v>148</v>
      </c>
      <c r="H551" s="3" t="s">
        <v>149</v>
      </c>
      <c r="I551" s="16"/>
      <c r="J551" s="147">
        <f>J552</f>
        <v>20000</v>
      </c>
      <c r="K551" s="147">
        <f t="shared" ref="K551:O551" si="647">K552</f>
        <v>20000</v>
      </c>
      <c r="L551" s="147">
        <f t="shared" si="647"/>
        <v>20000</v>
      </c>
      <c r="M551" s="147">
        <f t="shared" si="647"/>
        <v>0</v>
      </c>
      <c r="N551" s="147">
        <f t="shared" si="647"/>
        <v>0</v>
      </c>
      <c r="O551" s="147">
        <f t="shared" si="647"/>
        <v>0</v>
      </c>
      <c r="P551" s="147">
        <f>P552</f>
        <v>20000</v>
      </c>
      <c r="Q551" s="147">
        <f t="shared" ref="Q551:U553" si="648">Q552</f>
        <v>20000</v>
      </c>
      <c r="R551" s="147">
        <f t="shared" si="648"/>
        <v>20000</v>
      </c>
      <c r="S551" s="147">
        <f t="shared" si="648"/>
        <v>0</v>
      </c>
      <c r="T551" s="147">
        <f t="shared" si="648"/>
        <v>0</v>
      </c>
      <c r="U551" s="147">
        <f t="shared" si="648"/>
        <v>0</v>
      </c>
      <c r="V551" s="147">
        <f t="shared" si="636"/>
        <v>20000</v>
      </c>
      <c r="W551" s="147">
        <f t="shared" si="636"/>
        <v>20000</v>
      </c>
      <c r="X551" s="147">
        <f t="shared" si="636"/>
        <v>20000</v>
      </c>
    </row>
    <row r="552" spans="1:24" ht="25.5">
      <c r="A552" s="188" t="s">
        <v>343</v>
      </c>
      <c r="B552" s="3" t="s">
        <v>402</v>
      </c>
      <c r="C552" s="3" t="s">
        <v>13</v>
      </c>
      <c r="D552" s="3" t="s">
        <v>29</v>
      </c>
      <c r="E552" s="3" t="s">
        <v>29</v>
      </c>
      <c r="F552" s="3" t="s">
        <v>70</v>
      </c>
      <c r="G552" s="3" t="s">
        <v>148</v>
      </c>
      <c r="H552" s="3" t="s">
        <v>341</v>
      </c>
      <c r="I552" s="16"/>
      <c r="J552" s="147">
        <f t="shared" ref="J552:O553" si="649">J553</f>
        <v>20000</v>
      </c>
      <c r="K552" s="147">
        <f t="shared" si="649"/>
        <v>20000</v>
      </c>
      <c r="L552" s="147">
        <f t="shared" si="649"/>
        <v>20000</v>
      </c>
      <c r="M552" s="147">
        <f t="shared" si="649"/>
        <v>0</v>
      </c>
      <c r="N552" s="147">
        <f t="shared" si="649"/>
        <v>0</v>
      </c>
      <c r="O552" s="147">
        <f t="shared" si="649"/>
        <v>0</v>
      </c>
      <c r="P552" s="147">
        <f>P553</f>
        <v>20000</v>
      </c>
      <c r="Q552" s="147">
        <f t="shared" si="648"/>
        <v>20000</v>
      </c>
      <c r="R552" s="147">
        <f t="shared" si="648"/>
        <v>20000</v>
      </c>
      <c r="S552" s="147">
        <f t="shared" si="648"/>
        <v>0</v>
      </c>
      <c r="T552" s="147">
        <f t="shared" si="648"/>
        <v>0</v>
      </c>
      <c r="U552" s="147">
        <f t="shared" si="648"/>
        <v>0</v>
      </c>
      <c r="V552" s="147">
        <f t="shared" si="636"/>
        <v>20000</v>
      </c>
      <c r="W552" s="147">
        <f t="shared" si="636"/>
        <v>20000</v>
      </c>
      <c r="X552" s="147">
        <f t="shared" si="636"/>
        <v>20000</v>
      </c>
    </row>
    <row r="553" spans="1:24" ht="25.5">
      <c r="A553" s="189" t="s">
        <v>260</v>
      </c>
      <c r="B553" s="3" t="s">
        <v>402</v>
      </c>
      <c r="C553" s="3" t="s">
        <v>13</v>
      </c>
      <c r="D553" s="3" t="s">
        <v>29</v>
      </c>
      <c r="E553" s="3" t="s">
        <v>29</v>
      </c>
      <c r="F553" s="3" t="s">
        <v>70</v>
      </c>
      <c r="G553" s="3" t="s">
        <v>148</v>
      </c>
      <c r="H553" s="3" t="s">
        <v>341</v>
      </c>
      <c r="I553" s="16" t="s">
        <v>94</v>
      </c>
      <c r="J553" s="147">
        <f t="shared" si="649"/>
        <v>20000</v>
      </c>
      <c r="K553" s="147">
        <f t="shared" si="649"/>
        <v>20000</v>
      </c>
      <c r="L553" s="147">
        <f t="shared" si="649"/>
        <v>20000</v>
      </c>
      <c r="M553" s="147">
        <f t="shared" si="649"/>
        <v>0</v>
      </c>
      <c r="N553" s="147">
        <f t="shared" si="649"/>
        <v>0</v>
      </c>
      <c r="O553" s="147">
        <f t="shared" si="649"/>
        <v>0</v>
      </c>
      <c r="P553" s="147">
        <f>P554</f>
        <v>20000</v>
      </c>
      <c r="Q553" s="147">
        <f t="shared" si="648"/>
        <v>20000</v>
      </c>
      <c r="R553" s="147">
        <f t="shared" si="648"/>
        <v>20000</v>
      </c>
      <c r="S553" s="147">
        <f t="shared" si="648"/>
        <v>0</v>
      </c>
      <c r="T553" s="147">
        <f t="shared" si="648"/>
        <v>0</v>
      </c>
      <c r="U553" s="147">
        <f t="shared" si="648"/>
        <v>0</v>
      </c>
      <c r="V553" s="147">
        <f t="shared" si="636"/>
        <v>20000</v>
      </c>
      <c r="W553" s="147">
        <f t="shared" si="636"/>
        <v>20000</v>
      </c>
      <c r="X553" s="147">
        <f t="shared" si="636"/>
        <v>20000</v>
      </c>
    </row>
    <row r="554" spans="1:24" ht="25.5">
      <c r="A554" s="188" t="s">
        <v>98</v>
      </c>
      <c r="B554" s="3" t="s">
        <v>402</v>
      </c>
      <c r="C554" s="3" t="s">
        <v>13</v>
      </c>
      <c r="D554" s="3" t="s">
        <v>29</v>
      </c>
      <c r="E554" s="3" t="s">
        <v>29</v>
      </c>
      <c r="F554" s="3" t="s">
        <v>70</v>
      </c>
      <c r="G554" s="3" t="s">
        <v>148</v>
      </c>
      <c r="H554" s="3" t="s">
        <v>341</v>
      </c>
      <c r="I554" s="16" t="s">
        <v>95</v>
      </c>
      <c r="J554" s="147">
        <v>20000</v>
      </c>
      <c r="K554" s="147">
        <v>20000</v>
      </c>
      <c r="L554" s="81">
        <v>20000</v>
      </c>
      <c r="M554" s="147"/>
      <c r="N554" s="147"/>
      <c r="O554" s="81"/>
      <c r="P554" s="147">
        <f>P925</f>
        <v>20000</v>
      </c>
      <c r="Q554" s="147">
        <f t="shared" ref="Q554:U554" si="650">Q925</f>
        <v>20000</v>
      </c>
      <c r="R554" s="147">
        <f t="shared" si="650"/>
        <v>20000</v>
      </c>
      <c r="S554" s="147">
        <f t="shared" si="650"/>
        <v>0</v>
      </c>
      <c r="T554" s="147">
        <f t="shared" si="650"/>
        <v>0</v>
      </c>
      <c r="U554" s="147">
        <f t="shared" si="650"/>
        <v>0</v>
      </c>
      <c r="V554" s="147">
        <f t="shared" si="636"/>
        <v>20000</v>
      </c>
      <c r="W554" s="147">
        <f t="shared" si="636"/>
        <v>20000</v>
      </c>
      <c r="X554" s="81">
        <f t="shared" si="636"/>
        <v>20000</v>
      </c>
    </row>
    <row r="555" spans="1:24" ht="25.5">
      <c r="A555" s="190" t="s">
        <v>291</v>
      </c>
      <c r="B555" s="3" t="s">
        <v>402</v>
      </c>
      <c r="C555" s="3" t="s">
        <v>13</v>
      </c>
      <c r="D555" s="3" t="s">
        <v>29</v>
      </c>
      <c r="E555" s="1" t="s">
        <v>194</v>
      </c>
      <c r="F555" s="1" t="s">
        <v>70</v>
      </c>
      <c r="G555" s="1" t="s">
        <v>148</v>
      </c>
      <c r="H555" s="3" t="s">
        <v>149</v>
      </c>
      <c r="I555" s="16"/>
      <c r="J555" s="81">
        <f t="shared" ref="J555:O561" si="651">J556</f>
        <v>50000</v>
      </c>
      <c r="K555" s="81">
        <f t="shared" si="651"/>
        <v>50000</v>
      </c>
      <c r="L555" s="81">
        <f t="shared" si="651"/>
        <v>50000</v>
      </c>
      <c r="M555" s="81">
        <f t="shared" si="651"/>
        <v>0</v>
      </c>
      <c r="N555" s="81">
        <f t="shared" si="651"/>
        <v>0</v>
      </c>
      <c r="O555" s="81">
        <f t="shared" si="651"/>
        <v>0</v>
      </c>
      <c r="P555" s="81">
        <f>P556</f>
        <v>50000</v>
      </c>
      <c r="Q555" s="81">
        <f t="shared" ref="Q555:U561" si="652">Q556</f>
        <v>50000</v>
      </c>
      <c r="R555" s="81">
        <f t="shared" si="652"/>
        <v>50000</v>
      </c>
      <c r="S555" s="81">
        <f t="shared" si="652"/>
        <v>0</v>
      </c>
      <c r="T555" s="81">
        <f t="shared" si="652"/>
        <v>0</v>
      </c>
      <c r="U555" s="81">
        <f t="shared" si="652"/>
        <v>0</v>
      </c>
      <c r="V555" s="81">
        <f t="shared" si="636"/>
        <v>50000</v>
      </c>
      <c r="W555" s="81">
        <f t="shared" si="636"/>
        <v>50000</v>
      </c>
      <c r="X555" s="81">
        <f t="shared" si="636"/>
        <v>50000</v>
      </c>
    </row>
    <row r="556" spans="1:24">
      <c r="A556" s="190" t="s">
        <v>340</v>
      </c>
      <c r="B556" s="3" t="s">
        <v>402</v>
      </c>
      <c r="C556" s="3" t="s">
        <v>13</v>
      </c>
      <c r="D556" s="3" t="s">
        <v>29</v>
      </c>
      <c r="E556" s="1" t="s">
        <v>194</v>
      </c>
      <c r="F556" s="1" t="s">
        <v>70</v>
      </c>
      <c r="G556" s="1" t="s">
        <v>148</v>
      </c>
      <c r="H556" s="3" t="s">
        <v>195</v>
      </c>
      <c r="I556" s="16"/>
      <c r="J556" s="81">
        <f>J559+J561</f>
        <v>50000</v>
      </c>
      <c r="K556" s="81">
        <f t="shared" ref="K556:O556" si="653">K559+K561</f>
        <v>50000</v>
      </c>
      <c r="L556" s="81">
        <f t="shared" si="653"/>
        <v>50000</v>
      </c>
      <c r="M556" s="81">
        <f t="shared" si="653"/>
        <v>0</v>
      </c>
      <c r="N556" s="81">
        <f t="shared" si="653"/>
        <v>0</v>
      </c>
      <c r="O556" s="81">
        <f t="shared" si="653"/>
        <v>0</v>
      </c>
      <c r="P556" s="81">
        <f>P559+P561</f>
        <v>50000</v>
      </c>
      <c r="Q556" s="81">
        <f t="shared" ref="Q556:R556" si="654">Q559+Q561</f>
        <v>50000</v>
      </c>
      <c r="R556" s="81">
        <f t="shared" si="654"/>
        <v>50000</v>
      </c>
      <c r="S556" s="81">
        <f>S559+S561+S557</f>
        <v>0</v>
      </c>
      <c r="T556" s="81">
        <f t="shared" ref="T556:U556" si="655">T559+T561+T557</f>
        <v>0</v>
      </c>
      <c r="U556" s="81">
        <f t="shared" si="655"/>
        <v>0</v>
      </c>
      <c r="V556" s="81">
        <f t="shared" si="636"/>
        <v>50000</v>
      </c>
      <c r="W556" s="81">
        <f t="shared" si="636"/>
        <v>50000</v>
      </c>
      <c r="X556" s="81">
        <f t="shared" si="636"/>
        <v>50000</v>
      </c>
    </row>
    <row r="557" spans="1:24" ht="38.25">
      <c r="A557" s="188" t="s">
        <v>96</v>
      </c>
      <c r="B557" s="1" t="s">
        <v>402</v>
      </c>
      <c r="C557" s="3" t="s">
        <v>13</v>
      </c>
      <c r="D557" s="3" t="s">
        <v>29</v>
      </c>
      <c r="E557" s="1" t="s">
        <v>194</v>
      </c>
      <c r="F557" s="1" t="s">
        <v>70</v>
      </c>
      <c r="G557" s="1" t="s">
        <v>148</v>
      </c>
      <c r="H557" s="3" t="s">
        <v>195</v>
      </c>
      <c r="I557" s="13" t="s">
        <v>92</v>
      </c>
      <c r="J557" s="81">
        <f>J558</f>
        <v>0</v>
      </c>
      <c r="K557" s="81">
        <f t="shared" ref="K557:O557" si="656">K558</f>
        <v>0</v>
      </c>
      <c r="L557" s="81">
        <f t="shared" si="656"/>
        <v>0</v>
      </c>
      <c r="M557" s="81">
        <f t="shared" si="656"/>
        <v>0</v>
      </c>
      <c r="N557" s="81">
        <f t="shared" si="656"/>
        <v>0</v>
      </c>
      <c r="O557" s="81">
        <f t="shared" si="656"/>
        <v>0</v>
      </c>
      <c r="P557" s="81">
        <f>P558</f>
        <v>0</v>
      </c>
      <c r="Q557" s="81">
        <f t="shared" ref="Q557:U557" si="657">Q558</f>
        <v>0</v>
      </c>
      <c r="R557" s="81">
        <f t="shared" si="657"/>
        <v>0</v>
      </c>
      <c r="S557" s="81">
        <f t="shared" si="657"/>
        <v>20000</v>
      </c>
      <c r="T557" s="81">
        <f t="shared" si="657"/>
        <v>0</v>
      </c>
      <c r="U557" s="81">
        <f t="shared" si="657"/>
        <v>0</v>
      </c>
      <c r="V557" s="81">
        <f t="shared" ref="V557:V558" si="658">P557+S557</f>
        <v>20000</v>
      </c>
      <c r="W557" s="81">
        <f t="shared" ref="W557:W558" si="659">Q557+T557</f>
        <v>0</v>
      </c>
      <c r="X557" s="81">
        <f t="shared" ref="X557:X558" si="660">R557+U557</f>
        <v>0</v>
      </c>
    </row>
    <row r="558" spans="1:24">
      <c r="A558" s="188" t="s">
        <v>103</v>
      </c>
      <c r="B558" s="1" t="s">
        <v>402</v>
      </c>
      <c r="C558" s="3" t="s">
        <v>13</v>
      </c>
      <c r="D558" s="3" t="s">
        <v>29</v>
      </c>
      <c r="E558" s="1" t="s">
        <v>194</v>
      </c>
      <c r="F558" s="1" t="s">
        <v>70</v>
      </c>
      <c r="G558" s="1" t="s">
        <v>148</v>
      </c>
      <c r="H558" s="3" t="s">
        <v>195</v>
      </c>
      <c r="I558" s="13" t="s">
        <v>102</v>
      </c>
      <c r="J558" s="81"/>
      <c r="K558" s="81"/>
      <c r="L558" s="81"/>
      <c r="M558" s="81"/>
      <c r="N558" s="81"/>
      <c r="O558" s="81"/>
      <c r="P558" s="81"/>
      <c r="Q558" s="81"/>
      <c r="R558" s="81"/>
      <c r="S558" s="81">
        <f>S929</f>
        <v>20000</v>
      </c>
      <c r="T558" s="81">
        <f t="shared" ref="T558:U558" si="661">T929</f>
        <v>0</v>
      </c>
      <c r="U558" s="81">
        <f t="shared" si="661"/>
        <v>0</v>
      </c>
      <c r="V558" s="81">
        <f t="shared" si="658"/>
        <v>20000</v>
      </c>
      <c r="W558" s="81">
        <f t="shared" si="659"/>
        <v>0</v>
      </c>
      <c r="X558" s="81">
        <f t="shared" si="660"/>
        <v>0</v>
      </c>
    </row>
    <row r="559" spans="1:24" ht="25.5">
      <c r="A559" s="189" t="s">
        <v>260</v>
      </c>
      <c r="B559" s="3" t="s">
        <v>402</v>
      </c>
      <c r="C559" s="3" t="s">
        <v>13</v>
      </c>
      <c r="D559" s="3" t="s">
        <v>29</v>
      </c>
      <c r="E559" s="1" t="s">
        <v>194</v>
      </c>
      <c r="F559" s="1" t="s">
        <v>70</v>
      </c>
      <c r="G559" s="1" t="s">
        <v>148</v>
      </c>
      <c r="H559" s="3" t="s">
        <v>195</v>
      </c>
      <c r="I559" s="16" t="s">
        <v>94</v>
      </c>
      <c r="J559" s="81">
        <f>J560</f>
        <v>30000</v>
      </c>
      <c r="K559" s="81">
        <f t="shared" ref="K559:O559" si="662">K560</f>
        <v>30000</v>
      </c>
      <c r="L559" s="81">
        <f t="shared" si="662"/>
        <v>30000</v>
      </c>
      <c r="M559" s="81">
        <f t="shared" si="662"/>
        <v>0</v>
      </c>
      <c r="N559" s="81">
        <f t="shared" si="662"/>
        <v>0</v>
      </c>
      <c r="O559" s="81">
        <f t="shared" si="662"/>
        <v>0</v>
      </c>
      <c r="P559" s="81">
        <f>P560</f>
        <v>30000</v>
      </c>
      <c r="Q559" s="81">
        <f t="shared" ref="Q559:U559" si="663">Q560</f>
        <v>30000</v>
      </c>
      <c r="R559" s="81">
        <f t="shared" si="663"/>
        <v>30000</v>
      </c>
      <c r="S559" s="81">
        <f t="shared" si="663"/>
        <v>0</v>
      </c>
      <c r="T559" s="81">
        <f t="shared" si="663"/>
        <v>0</v>
      </c>
      <c r="U559" s="81">
        <f t="shared" si="663"/>
        <v>0</v>
      </c>
      <c r="V559" s="81">
        <f t="shared" si="636"/>
        <v>30000</v>
      </c>
      <c r="W559" s="81">
        <f t="shared" si="636"/>
        <v>30000</v>
      </c>
      <c r="X559" s="81">
        <f t="shared" si="636"/>
        <v>30000</v>
      </c>
    </row>
    <row r="560" spans="1:24" ht="25.5">
      <c r="A560" s="188" t="s">
        <v>98</v>
      </c>
      <c r="B560" s="3" t="s">
        <v>402</v>
      </c>
      <c r="C560" s="3" t="s">
        <v>13</v>
      </c>
      <c r="D560" s="3" t="s">
        <v>29</v>
      </c>
      <c r="E560" s="1" t="s">
        <v>194</v>
      </c>
      <c r="F560" s="1" t="s">
        <v>70</v>
      </c>
      <c r="G560" s="1" t="s">
        <v>148</v>
      </c>
      <c r="H560" s="3" t="s">
        <v>195</v>
      </c>
      <c r="I560" s="16" t="s">
        <v>95</v>
      </c>
      <c r="J560" s="81">
        <v>30000</v>
      </c>
      <c r="K560" s="81">
        <v>30000</v>
      </c>
      <c r="L560" s="81">
        <v>30000</v>
      </c>
      <c r="M560" s="81"/>
      <c r="N560" s="81"/>
      <c r="O560" s="81"/>
      <c r="P560" s="81">
        <f>P931</f>
        <v>30000</v>
      </c>
      <c r="Q560" s="81">
        <f t="shared" ref="Q560:U560" si="664">Q931</f>
        <v>30000</v>
      </c>
      <c r="R560" s="81">
        <f t="shared" si="664"/>
        <v>30000</v>
      </c>
      <c r="S560" s="81">
        <f t="shared" si="664"/>
        <v>0</v>
      </c>
      <c r="T560" s="81">
        <f t="shared" si="664"/>
        <v>0</v>
      </c>
      <c r="U560" s="81">
        <f t="shared" si="664"/>
        <v>0</v>
      </c>
      <c r="V560" s="81">
        <f t="shared" si="636"/>
        <v>30000</v>
      </c>
      <c r="W560" s="81">
        <f t="shared" si="636"/>
        <v>30000</v>
      </c>
      <c r="X560" s="81">
        <f t="shared" si="636"/>
        <v>30000</v>
      </c>
    </row>
    <row r="561" spans="1:24">
      <c r="A561" s="9" t="s">
        <v>100</v>
      </c>
      <c r="B561" s="3" t="s">
        <v>402</v>
      </c>
      <c r="C561" s="3" t="s">
        <v>13</v>
      </c>
      <c r="D561" s="3" t="s">
        <v>29</v>
      </c>
      <c r="E561" s="1" t="s">
        <v>194</v>
      </c>
      <c r="F561" s="1" t="s">
        <v>70</v>
      </c>
      <c r="G561" s="1" t="s">
        <v>148</v>
      </c>
      <c r="H561" s="3" t="s">
        <v>195</v>
      </c>
      <c r="I561" s="16" t="s">
        <v>99</v>
      </c>
      <c r="J561" s="81">
        <f t="shared" si="651"/>
        <v>20000</v>
      </c>
      <c r="K561" s="81">
        <f t="shared" si="651"/>
        <v>20000</v>
      </c>
      <c r="L561" s="81">
        <f t="shared" si="651"/>
        <v>20000</v>
      </c>
      <c r="M561" s="81">
        <f t="shared" si="651"/>
        <v>0</v>
      </c>
      <c r="N561" s="81">
        <f t="shared" si="651"/>
        <v>0</v>
      </c>
      <c r="O561" s="81">
        <f t="shared" si="651"/>
        <v>0</v>
      </c>
      <c r="P561" s="81">
        <f>P562</f>
        <v>20000</v>
      </c>
      <c r="Q561" s="81">
        <f t="shared" ref="Q561:R561" si="665">Q562</f>
        <v>20000</v>
      </c>
      <c r="R561" s="81">
        <f t="shared" si="665"/>
        <v>20000</v>
      </c>
      <c r="S561" s="81">
        <f t="shared" si="652"/>
        <v>-20000</v>
      </c>
      <c r="T561" s="81">
        <f t="shared" si="652"/>
        <v>0</v>
      </c>
      <c r="U561" s="81">
        <f t="shared" si="652"/>
        <v>0</v>
      </c>
      <c r="V561" s="81">
        <f t="shared" si="636"/>
        <v>0</v>
      </c>
      <c r="W561" s="81">
        <f t="shared" si="636"/>
        <v>20000</v>
      </c>
      <c r="X561" s="81">
        <f t="shared" si="636"/>
        <v>20000</v>
      </c>
    </row>
    <row r="562" spans="1:24">
      <c r="A562" s="190" t="s">
        <v>117</v>
      </c>
      <c r="B562" s="3" t="s">
        <v>402</v>
      </c>
      <c r="C562" s="3" t="s">
        <v>13</v>
      </c>
      <c r="D562" s="3" t="s">
        <v>29</v>
      </c>
      <c r="E562" s="1" t="s">
        <v>194</v>
      </c>
      <c r="F562" s="1" t="s">
        <v>70</v>
      </c>
      <c r="G562" s="1" t="s">
        <v>148</v>
      </c>
      <c r="H562" s="3" t="s">
        <v>195</v>
      </c>
      <c r="I562" s="16" t="s">
        <v>116</v>
      </c>
      <c r="J562" s="81">
        <v>20000</v>
      </c>
      <c r="K562" s="81">
        <v>20000</v>
      </c>
      <c r="L562" s="81">
        <v>20000</v>
      </c>
      <c r="M562" s="81"/>
      <c r="N562" s="81"/>
      <c r="O562" s="81"/>
      <c r="P562" s="81">
        <f>P933</f>
        <v>20000</v>
      </c>
      <c r="Q562" s="81">
        <f t="shared" ref="Q562:U562" si="666">Q933</f>
        <v>20000</v>
      </c>
      <c r="R562" s="81">
        <f t="shared" si="666"/>
        <v>20000</v>
      </c>
      <c r="S562" s="81">
        <f t="shared" si="666"/>
        <v>-20000</v>
      </c>
      <c r="T562" s="81">
        <f t="shared" si="666"/>
        <v>0</v>
      </c>
      <c r="U562" s="81">
        <f t="shared" si="666"/>
        <v>0</v>
      </c>
      <c r="V562" s="81">
        <f t="shared" si="636"/>
        <v>0</v>
      </c>
      <c r="W562" s="81">
        <f t="shared" si="636"/>
        <v>20000</v>
      </c>
      <c r="X562" s="81">
        <f t="shared" si="636"/>
        <v>20000</v>
      </c>
    </row>
    <row r="563" spans="1:24">
      <c r="A563" s="190"/>
      <c r="B563" s="3"/>
      <c r="C563" s="3"/>
      <c r="D563" s="3"/>
      <c r="E563" s="1"/>
      <c r="F563" s="1"/>
      <c r="G563" s="1"/>
      <c r="H563" s="3"/>
      <c r="I563" s="16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</row>
    <row r="564" spans="1:24" ht="15.75">
      <c r="A564" s="187" t="s">
        <v>15</v>
      </c>
      <c r="B564" s="27" t="s">
        <v>402</v>
      </c>
      <c r="C564" s="27" t="s">
        <v>16</v>
      </c>
      <c r="D564" s="3"/>
      <c r="E564" s="3"/>
      <c r="F564" s="3"/>
      <c r="G564" s="3"/>
      <c r="H564" s="3"/>
      <c r="I564" s="16"/>
      <c r="J564" s="100">
        <f t="shared" ref="J564:U564" si="667">J565+J578+J601+J631</f>
        <v>60960989</v>
      </c>
      <c r="K564" s="100">
        <f t="shared" si="667"/>
        <v>32565565.830000002</v>
      </c>
      <c r="L564" s="100">
        <f t="shared" si="667"/>
        <v>33887643.159999996</v>
      </c>
      <c r="M564" s="100">
        <f t="shared" si="667"/>
        <v>13136625.350000001</v>
      </c>
      <c r="N564" s="100">
        <f t="shared" si="667"/>
        <v>0</v>
      </c>
      <c r="O564" s="100">
        <f t="shared" si="667"/>
        <v>0</v>
      </c>
      <c r="P564" s="100">
        <f t="shared" si="667"/>
        <v>74097614.349999994</v>
      </c>
      <c r="Q564" s="100">
        <f t="shared" si="667"/>
        <v>32565565.830000002</v>
      </c>
      <c r="R564" s="100">
        <f t="shared" si="667"/>
        <v>33887643.159999996</v>
      </c>
      <c r="S564" s="100">
        <f t="shared" si="667"/>
        <v>88506172.680000007</v>
      </c>
      <c r="T564" s="100">
        <f t="shared" si="667"/>
        <v>0</v>
      </c>
      <c r="U564" s="100">
        <f t="shared" si="667"/>
        <v>0</v>
      </c>
      <c r="V564" s="100">
        <f t="shared" ref="V564:X580" si="668">P564+S564</f>
        <v>162603787.03</v>
      </c>
      <c r="W564" s="100">
        <f t="shared" si="668"/>
        <v>32565565.830000002</v>
      </c>
      <c r="X564" s="100">
        <f t="shared" si="668"/>
        <v>33887643.159999996</v>
      </c>
    </row>
    <row r="565" spans="1:24">
      <c r="A565" s="23" t="s">
        <v>36</v>
      </c>
      <c r="B565" s="14" t="s">
        <v>402</v>
      </c>
      <c r="C565" s="14" t="s">
        <v>16</v>
      </c>
      <c r="D565" s="14" t="s">
        <v>18</v>
      </c>
      <c r="E565" s="14"/>
      <c r="F565" s="14"/>
      <c r="G565" s="14"/>
      <c r="H565" s="1"/>
      <c r="I565" s="13"/>
      <c r="J565" s="101">
        <f>J566+J573</f>
        <v>575200</v>
      </c>
      <c r="K565" s="101">
        <f t="shared" ref="K565:O565" si="669">K566+K573</f>
        <v>580479.06999999995</v>
      </c>
      <c r="L565" s="101">
        <f t="shared" si="669"/>
        <v>1035783.86</v>
      </c>
      <c r="M565" s="101">
        <f t="shared" si="669"/>
        <v>0</v>
      </c>
      <c r="N565" s="101">
        <f t="shared" si="669"/>
        <v>0</v>
      </c>
      <c r="O565" s="101">
        <f t="shared" si="669"/>
        <v>0</v>
      </c>
      <c r="P565" s="101">
        <f>P566+P573</f>
        <v>575200</v>
      </c>
      <c r="Q565" s="101">
        <f t="shared" ref="Q565:U565" si="670">Q566+Q573</f>
        <v>580479.06999999995</v>
      </c>
      <c r="R565" s="101">
        <f t="shared" si="670"/>
        <v>1035783.86</v>
      </c>
      <c r="S565" s="101">
        <f t="shared" si="670"/>
        <v>0</v>
      </c>
      <c r="T565" s="101">
        <f t="shared" si="670"/>
        <v>0</v>
      </c>
      <c r="U565" s="101">
        <f t="shared" si="670"/>
        <v>0</v>
      </c>
      <c r="V565" s="101">
        <f t="shared" si="668"/>
        <v>575200</v>
      </c>
      <c r="W565" s="101">
        <f t="shared" si="668"/>
        <v>580479.06999999995</v>
      </c>
      <c r="X565" s="101">
        <f t="shared" si="668"/>
        <v>1035783.86</v>
      </c>
    </row>
    <row r="566" spans="1:24" ht="38.25">
      <c r="A566" s="9" t="s">
        <v>288</v>
      </c>
      <c r="B566" s="1" t="s">
        <v>402</v>
      </c>
      <c r="C566" s="1" t="s">
        <v>16</v>
      </c>
      <c r="D566" s="1" t="s">
        <v>18</v>
      </c>
      <c r="E566" s="1" t="s">
        <v>13</v>
      </c>
      <c r="F566" s="1" t="s">
        <v>70</v>
      </c>
      <c r="G566" s="1" t="s">
        <v>148</v>
      </c>
      <c r="H566" s="1" t="s">
        <v>149</v>
      </c>
      <c r="I566" s="13"/>
      <c r="J566" s="102">
        <f>J567+J570</f>
        <v>50000</v>
      </c>
      <c r="K566" s="102">
        <f t="shared" ref="K566:O566" si="671">K567+K570</f>
        <v>50000</v>
      </c>
      <c r="L566" s="102">
        <f t="shared" si="671"/>
        <v>500000</v>
      </c>
      <c r="M566" s="102">
        <f t="shared" si="671"/>
        <v>0</v>
      </c>
      <c r="N566" s="102">
        <f t="shared" si="671"/>
        <v>0</v>
      </c>
      <c r="O566" s="102">
        <f t="shared" si="671"/>
        <v>0</v>
      </c>
      <c r="P566" s="102">
        <f>P567+P570</f>
        <v>50000</v>
      </c>
      <c r="Q566" s="102">
        <f t="shared" ref="Q566:R566" si="672">K566+N566</f>
        <v>50000</v>
      </c>
      <c r="R566" s="102">
        <f t="shared" si="672"/>
        <v>500000</v>
      </c>
      <c r="S566" s="102">
        <f t="shared" ref="S566:U566" si="673">S567+S570</f>
        <v>0</v>
      </c>
      <c r="T566" s="102">
        <f t="shared" si="673"/>
        <v>0</v>
      </c>
      <c r="U566" s="102">
        <f t="shared" si="673"/>
        <v>0</v>
      </c>
      <c r="V566" s="102">
        <f t="shared" si="668"/>
        <v>50000</v>
      </c>
      <c r="W566" s="102">
        <f t="shared" si="668"/>
        <v>50000</v>
      </c>
      <c r="X566" s="102">
        <f t="shared" si="668"/>
        <v>500000</v>
      </c>
    </row>
    <row r="567" spans="1:24">
      <c r="A567" s="9" t="s">
        <v>344</v>
      </c>
      <c r="B567" s="1" t="s">
        <v>402</v>
      </c>
      <c r="C567" s="1" t="s">
        <v>16</v>
      </c>
      <c r="D567" s="1" t="s">
        <v>18</v>
      </c>
      <c r="E567" s="1" t="s">
        <v>13</v>
      </c>
      <c r="F567" s="1" t="s">
        <v>70</v>
      </c>
      <c r="G567" s="1" t="s">
        <v>148</v>
      </c>
      <c r="H567" s="208" t="s">
        <v>178</v>
      </c>
      <c r="I567" s="13"/>
      <c r="J567" s="81">
        <f>J568</f>
        <v>50000</v>
      </c>
      <c r="K567" s="81">
        <f t="shared" ref="K567:O568" si="674">K568</f>
        <v>50000</v>
      </c>
      <c r="L567" s="81">
        <f t="shared" si="674"/>
        <v>50000</v>
      </c>
      <c r="M567" s="81">
        <f t="shared" si="674"/>
        <v>0</v>
      </c>
      <c r="N567" s="81">
        <f t="shared" si="674"/>
        <v>0</v>
      </c>
      <c r="O567" s="81">
        <f t="shared" si="674"/>
        <v>0</v>
      </c>
      <c r="P567" s="81">
        <f>P568</f>
        <v>50000</v>
      </c>
      <c r="Q567" s="81">
        <f t="shared" ref="Q567:U568" si="675">Q568</f>
        <v>50000</v>
      </c>
      <c r="R567" s="81">
        <f t="shared" si="675"/>
        <v>50000</v>
      </c>
      <c r="S567" s="81">
        <f t="shared" si="675"/>
        <v>0</v>
      </c>
      <c r="T567" s="81">
        <f t="shared" si="675"/>
        <v>0</v>
      </c>
      <c r="U567" s="81">
        <f t="shared" si="675"/>
        <v>0</v>
      </c>
      <c r="V567" s="81">
        <f t="shared" si="668"/>
        <v>50000</v>
      </c>
      <c r="W567" s="81">
        <f t="shared" si="668"/>
        <v>50000</v>
      </c>
      <c r="X567" s="81">
        <f t="shared" si="668"/>
        <v>50000</v>
      </c>
    </row>
    <row r="568" spans="1:24" ht="25.5">
      <c r="A568" s="189" t="s">
        <v>260</v>
      </c>
      <c r="B568" s="1" t="s">
        <v>402</v>
      </c>
      <c r="C568" s="1" t="s">
        <v>16</v>
      </c>
      <c r="D568" s="1" t="s">
        <v>18</v>
      </c>
      <c r="E568" s="1" t="s">
        <v>13</v>
      </c>
      <c r="F568" s="1" t="s">
        <v>70</v>
      </c>
      <c r="G568" s="1" t="s">
        <v>148</v>
      </c>
      <c r="H568" s="208" t="s">
        <v>178</v>
      </c>
      <c r="I568" s="13" t="s">
        <v>94</v>
      </c>
      <c r="J568" s="81">
        <f>J569</f>
        <v>50000</v>
      </c>
      <c r="K568" s="81">
        <f t="shared" si="674"/>
        <v>50000</v>
      </c>
      <c r="L568" s="81">
        <f t="shared" si="674"/>
        <v>50000</v>
      </c>
      <c r="M568" s="81">
        <f t="shared" si="674"/>
        <v>0</v>
      </c>
      <c r="N568" s="81">
        <f t="shared" si="674"/>
        <v>0</v>
      </c>
      <c r="O568" s="81">
        <f t="shared" si="674"/>
        <v>0</v>
      </c>
      <c r="P568" s="81">
        <f>P569</f>
        <v>50000</v>
      </c>
      <c r="Q568" s="81">
        <f t="shared" si="675"/>
        <v>50000</v>
      </c>
      <c r="R568" s="81">
        <f t="shared" si="675"/>
        <v>50000</v>
      </c>
      <c r="S568" s="81">
        <f t="shared" si="675"/>
        <v>0</v>
      </c>
      <c r="T568" s="81">
        <f t="shared" si="675"/>
        <v>0</v>
      </c>
      <c r="U568" s="81">
        <f t="shared" si="675"/>
        <v>0</v>
      </c>
      <c r="V568" s="81">
        <f t="shared" si="668"/>
        <v>50000</v>
      </c>
      <c r="W568" s="81">
        <f t="shared" si="668"/>
        <v>50000</v>
      </c>
      <c r="X568" s="81">
        <f t="shared" si="668"/>
        <v>50000</v>
      </c>
    </row>
    <row r="569" spans="1:24" ht="25.5">
      <c r="A569" s="188" t="s">
        <v>98</v>
      </c>
      <c r="B569" s="1" t="s">
        <v>402</v>
      </c>
      <c r="C569" s="1" t="s">
        <v>16</v>
      </c>
      <c r="D569" s="1" t="s">
        <v>18</v>
      </c>
      <c r="E569" s="1" t="s">
        <v>13</v>
      </c>
      <c r="F569" s="1" t="s">
        <v>70</v>
      </c>
      <c r="G569" s="1" t="s">
        <v>148</v>
      </c>
      <c r="H569" s="208" t="s">
        <v>178</v>
      </c>
      <c r="I569" s="13" t="s">
        <v>95</v>
      </c>
      <c r="J569" s="81">
        <v>50000</v>
      </c>
      <c r="K569" s="81">
        <v>50000</v>
      </c>
      <c r="L569" s="81">
        <v>50000</v>
      </c>
      <c r="M569" s="81"/>
      <c r="N569" s="81"/>
      <c r="O569" s="81"/>
      <c r="P569" s="81">
        <f>P939</f>
        <v>50000</v>
      </c>
      <c r="Q569" s="81">
        <f t="shared" ref="Q569:U569" si="676">Q939</f>
        <v>50000</v>
      </c>
      <c r="R569" s="81">
        <f t="shared" si="676"/>
        <v>50000</v>
      </c>
      <c r="S569" s="81">
        <f t="shared" si="676"/>
        <v>0</v>
      </c>
      <c r="T569" s="81">
        <f t="shared" si="676"/>
        <v>0</v>
      </c>
      <c r="U569" s="81">
        <f t="shared" si="676"/>
        <v>0</v>
      </c>
      <c r="V569" s="81">
        <f t="shared" si="668"/>
        <v>50000</v>
      </c>
      <c r="W569" s="81">
        <f t="shared" si="668"/>
        <v>50000</v>
      </c>
      <c r="X569" s="81">
        <f t="shared" si="668"/>
        <v>50000</v>
      </c>
    </row>
    <row r="570" spans="1:24" ht="25.5">
      <c r="A570" s="188" t="s">
        <v>388</v>
      </c>
      <c r="B570" s="1" t="s">
        <v>402</v>
      </c>
      <c r="C570" s="1" t="s">
        <v>16</v>
      </c>
      <c r="D570" s="1" t="s">
        <v>18</v>
      </c>
      <c r="E570" s="1" t="s">
        <v>13</v>
      </c>
      <c r="F570" s="1" t="s">
        <v>70</v>
      </c>
      <c r="G570" s="1" t="s">
        <v>148</v>
      </c>
      <c r="H570" s="208" t="s">
        <v>387</v>
      </c>
      <c r="I570" s="13"/>
      <c r="J570" s="81">
        <f>J571</f>
        <v>0</v>
      </c>
      <c r="K570" s="81">
        <f t="shared" ref="K570:O571" si="677">K571</f>
        <v>0</v>
      </c>
      <c r="L570" s="81">
        <f t="shared" si="677"/>
        <v>450000</v>
      </c>
      <c r="M570" s="81">
        <f t="shared" si="677"/>
        <v>0</v>
      </c>
      <c r="N570" s="81">
        <f t="shared" si="677"/>
        <v>0</v>
      </c>
      <c r="O570" s="81">
        <f t="shared" si="677"/>
        <v>0</v>
      </c>
      <c r="P570" s="81">
        <f>P571</f>
        <v>0</v>
      </c>
      <c r="Q570" s="81">
        <f t="shared" ref="Q570:U571" si="678">Q571</f>
        <v>0</v>
      </c>
      <c r="R570" s="81">
        <f t="shared" si="678"/>
        <v>450000</v>
      </c>
      <c r="S570" s="81">
        <f t="shared" si="678"/>
        <v>0</v>
      </c>
      <c r="T570" s="81">
        <f t="shared" si="678"/>
        <v>0</v>
      </c>
      <c r="U570" s="81">
        <f t="shared" si="678"/>
        <v>0</v>
      </c>
      <c r="V570" s="81">
        <f t="shared" si="668"/>
        <v>0</v>
      </c>
      <c r="W570" s="81">
        <f t="shared" si="668"/>
        <v>0</v>
      </c>
      <c r="X570" s="81">
        <f t="shared" si="668"/>
        <v>450000</v>
      </c>
    </row>
    <row r="571" spans="1:24" ht="25.5">
      <c r="A571" s="189" t="s">
        <v>260</v>
      </c>
      <c r="B571" s="1" t="s">
        <v>402</v>
      </c>
      <c r="C571" s="1" t="s">
        <v>16</v>
      </c>
      <c r="D571" s="1" t="s">
        <v>18</v>
      </c>
      <c r="E571" s="1" t="s">
        <v>13</v>
      </c>
      <c r="F571" s="1" t="s">
        <v>70</v>
      </c>
      <c r="G571" s="1" t="s">
        <v>148</v>
      </c>
      <c r="H571" s="208" t="s">
        <v>387</v>
      </c>
      <c r="I571" s="13" t="s">
        <v>94</v>
      </c>
      <c r="J571" s="81">
        <f>J572</f>
        <v>0</v>
      </c>
      <c r="K571" s="81">
        <f t="shared" si="677"/>
        <v>0</v>
      </c>
      <c r="L571" s="81">
        <f t="shared" si="677"/>
        <v>450000</v>
      </c>
      <c r="M571" s="81">
        <f t="shared" si="677"/>
        <v>0</v>
      </c>
      <c r="N571" s="81">
        <f t="shared" si="677"/>
        <v>0</v>
      </c>
      <c r="O571" s="81">
        <f t="shared" si="677"/>
        <v>0</v>
      </c>
      <c r="P571" s="81">
        <f>P572</f>
        <v>0</v>
      </c>
      <c r="Q571" s="81">
        <f t="shared" si="678"/>
        <v>0</v>
      </c>
      <c r="R571" s="81">
        <f t="shared" si="678"/>
        <v>450000</v>
      </c>
      <c r="S571" s="81">
        <f t="shared" si="678"/>
        <v>0</v>
      </c>
      <c r="T571" s="81">
        <f t="shared" si="678"/>
        <v>0</v>
      </c>
      <c r="U571" s="81">
        <f t="shared" si="678"/>
        <v>0</v>
      </c>
      <c r="V571" s="81">
        <f t="shared" si="668"/>
        <v>0</v>
      </c>
      <c r="W571" s="81">
        <f t="shared" si="668"/>
        <v>0</v>
      </c>
      <c r="X571" s="81">
        <f t="shared" si="668"/>
        <v>450000</v>
      </c>
    </row>
    <row r="572" spans="1:24" ht="25.5">
      <c r="A572" s="188" t="s">
        <v>98</v>
      </c>
      <c r="B572" s="1" t="s">
        <v>402</v>
      </c>
      <c r="C572" s="1" t="s">
        <v>16</v>
      </c>
      <c r="D572" s="1" t="s">
        <v>18</v>
      </c>
      <c r="E572" s="1" t="s">
        <v>13</v>
      </c>
      <c r="F572" s="1" t="s">
        <v>70</v>
      </c>
      <c r="G572" s="1" t="s">
        <v>148</v>
      </c>
      <c r="H572" s="208" t="s">
        <v>387</v>
      </c>
      <c r="I572" s="13" t="s">
        <v>95</v>
      </c>
      <c r="J572" s="81"/>
      <c r="K572" s="81"/>
      <c r="L572" s="81">
        <v>450000</v>
      </c>
      <c r="M572" s="81"/>
      <c r="N572" s="81"/>
      <c r="O572" s="81"/>
      <c r="P572" s="81">
        <f>P942</f>
        <v>0</v>
      </c>
      <c r="Q572" s="81">
        <f t="shared" ref="Q572:U572" si="679">Q942</f>
        <v>0</v>
      </c>
      <c r="R572" s="81">
        <f t="shared" si="679"/>
        <v>450000</v>
      </c>
      <c r="S572" s="81">
        <f t="shared" si="679"/>
        <v>0</v>
      </c>
      <c r="T572" s="81">
        <f t="shared" si="679"/>
        <v>0</v>
      </c>
      <c r="U572" s="81">
        <f t="shared" si="679"/>
        <v>0</v>
      </c>
      <c r="V572" s="81">
        <f t="shared" si="668"/>
        <v>0</v>
      </c>
      <c r="W572" s="81">
        <f t="shared" si="668"/>
        <v>0</v>
      </c>
      <c r="X572" s="81">
        <f t="shared" si="668"/>
        <v>450000</v>
      </c>
    </row>
    <row r="573" spans="1:24">
      <c r="A573" s="9" t="s">
        <v>83</v>
      </c>
      <c r="B573" s="1" t="s">
        <v>402</v>
      </c>
      <c r="C573" s="1" t="s">
        <v>16</v>
      </c>
      <c r="D573" s="1" t="s">
        <v>18</v>
      </c>
      <c r="E573" s="1" t="s">
        <v>82</v>
      </c>
      <c r="F573" s="1" t="s">
        <v>70</v>
      </c>
      <c r="G573" s="1" t="s">
        <v>148</v>
      </c>
      <c r="H573" s="208" t="s">
        <v>149</v>
      </c>
      <c r="I573" s="13"/>
      <c r="J573" s="81">
        <f>J574</f>
        <v>525200</v>
      </c>
      <c r="K573" s="81">
        <f t="shared" ref="K573:O575" si="680">K574</f>
        <v>530479.06999999995</v>
      </c>
      <c r="L573" s="81">
        <f t="shared" si="680"/>
        <v>535783.86</v>
      </c>
      <c r="M573" s="81">
        <f t="shared" si="680"/>
        <v>0</v>
      </c>
      <c r="N573" s="81">
        <f t="shared" si="680"/>
        <v>0</v>
      </c>
      <c r="O573" s="81">
        <f t="shared" si="680"/>
        <v>0</v>
      </c>
      <c r="P573" s="81">
        <f>P574</f>
        <v>525200</v>
      </c>
      <c r="Q573" s="81">
        <f t="shared" ref="Q573:U575" si="681">Q574</f>
        <v>530479.06999999995</v>
      </c>
      <c r="R573" s="81">
        <f t="shared" si="681"/>
        <v>535783.86</v>
      </c>
      <c r="S573" s="81">
        <f t="shared" si="681"/>
        <v>0</v>
      </c>
      <c r="T573" s="81">
        <f t="shared" si="681"/>
        <v>0</v>
      </c>
      <c r="U573" s="81">
        <f t="shared" si="681"/>
        <v>0</v>
      </c>
      <c r="V573" s="81">
        <f t="shared" si="668"/>
        <v>525200</v>
      </c>
      <c r="W573" s="81">
        <f t="shared" si="668"/>
        <v>530479.06999999995</v>
      </c>
      <c r="X573" s="81">
        <f t="shared" si="668"/>
        <v>535783.86</v>
      </c>
    </row>
    <row r="574" spans="1:24">
      <c r="A574" s="9" t="s">
        <v>346</v>
      </c>
      <c r="B574" s="1" t="s">
        <v>402</v>
      </c>
      <c r="C574" s="1" t="s">
        <v>16</v>
      </c>
      <c r="D574" s="1" t="s">
        <v>18</v>
      </c>
      <c r="E574" s="1" t="s">
        <v>82</v>
      </c>
      <c r="F574" s="1" t="s">
        <v>70</v>
      </c>
      <c r="G574" s="1" t="s">
        <v>148</v>
      </c>
      <c r="H574" s="208" t="s">
        <v>345</v>
      </c>
      <c r="I574" s="13"/>
      <c r="J574" s="81">
        <f>J575</f>
        <v>525200</v>
      </c>
      <c r="K574" s="81">
        <f t="shared" si="680"/>
        <v>530479.06999999995</v>
      </c>
      <c r="L574" s="81">
        <f t="shared" si="680"/>
        <v>535783.86</v>
      </c>
      <c r="M574" s="81">
        <f t="shared" si="680"/>
        <v>0</v>
      </c>
      <c r="N574" s="81">
        <f t="shared" si="680"/>
        <v>0</v>
      </c>
      <c r="O574" s="81">
        <f t="shared" si="680"/>
        <v>0</v>
      </c>
      <c r="P574" s="81">
        <f>P575</f>
        <v>525200</v>
      </c>
      <c r="Q574" s="81">
        <f t="shared" si="681"/>
        <v>530479.06999999995</v>
      </c>
      <c r="R574" s="81">
        <f t="shared" si="681"/>
        <v>535783.86</v>
      </c>
      <c r="S574" s="81">
        <f t="shared" si="681"/>
        <v>0</v>
      </c>
      <c r="T574" s="81">
        <f t="shared" si="681"/>
        <v>0</v>
      </c>
      <c r="U574" s="81">
        <f t="shared" si="681"/>
        <v>0</v>
      </c>
      <c r="V574" s="81">
        <f t="shared" si="668"/>
        <v>525200</v>
      </c>
      <c r="W574" s="81">
        <f t="shared" si="668"/>
        <v>530479.06999999995</v>
      </c>
      <c r="X574" s="81">
        <f t="shared" si="668"/>
        <v>535783.86</v>
      </c>
    </row>
    <row r="575" spans="1:24" ht="25.5">
      <c r="A575" s="209" t="s">
        <v>72</v>
      </c>
      <c r="B575" s="1" t="s">
        <v>402</v>
      </c>
      <c r="C575" s="1" t="s">
        <v>16</v>
      </c>
      <c r="D575" s="1" t="s">
        <v>18</v>
      </c>
      <c r="E575" s="1" t="s">
        <v>82</v>
      </c>
      <c r="F575" s="1" t="s">
        <v>70</v>
      </c>
      <c r="G575" s="1" t="s">
        <v>148</v>
      </c>
      <c r="H575" s="208" t="s">
        <v>345</v>
      </c>
      <c r="I575" s="13" t="s">
        <v>71</v>
      </c>
      <c r="J575" s="81">
        <f>J576</f>
        <v>525200</v>
      </c>
      <c r="K575" s="81">
        <f t="shared" si="680"/>
        <v>530479.06999999995</v>
      </c>
      <c r="L575" s="81">
        <f t="shared" si="680"/>
        <v>535783.86</v>
      </c>
      <c r="M575" s="81">
        <f t="shared" si="680"/>
        <v>0</v>
      </c>
      <c r="N575" s="81">
        <f t="shared" si="680"/>
        <v>0</v>
      </c>
      <c r="O575" s="81">
        <f t="shared" si="680"/>
        <v>0</v>
      </c>
      <c r="P575" s="81">
        <f>P576</f>
        <v>525200</v>
      </c>
      <c r="Q575" s="81">
        <f t="shared" si="681"/>
        <v>530479.06999999995</v>
      </c>
      <c r="R575" s="81">
        <f t="shared" si="681"/>
        <v>535783.86</v>
      </c>
      <c r="S575" s="81">
        <f t="shared" si="681"/>
        <v>0</v>
      </c>
      <c r="T575" s="81">
        <f t="shared" si="681"/>
        <v>0</v>
      </c>
      <c r="U575" s="81">
        <f t="shared" si="681"/>
        <v>0</v>
      </c>
      <c r="V575" s="81">
        <f t="shared" si="668"/>
        <v>525200</v>
      </c>
      <c r="W575" s="81">
        <f t="shared" si="668"/>
        <v>530479.06999999995</v>
      </c>
      <c r="X575" s="81">
        <f t="shared" si="668"/>
        <v>535783.86</v>
      </c>
    </row>
    <row r="576" spans="1:24">
      <c r="A576" s="9" t="s">
        <v>249</v>
      </c>
      <c r="B576" s="1" t="s">
        <v>402</v>
      </c>
      <c r="C576" s="1" t="s">
        <v>16</v>
      </c>
      <c r="D576" s="1" t="s">
        <v>18</v>
      </c>
      <c r="E576" s="1" t="s">
        <v>82</v>
      </c>
      <c r="F576" s="1" t="s">
        <v>70</v>
      </c>
      <c r="G576" s="1" t="s">
        <v>148</v>
      </c>
      <c r="H576" s="208" t="s">
        <v>345</v>
      </c>
      <c r="I576" s="13" t="s">
        <v>246</v>
      </c>
      <c r="J576" s="81">
        <v>525200</v>
      </c>
      <c r="K576" s="81">
        <v>530479.06999999995</v>
      </c>
      <c r="L576" s="81">
        <v>535783.86</v>
      </c>
      <c r="M576" s="81"/>
      <c r="N576" s="81"/>
      <c r="O576" s="81"/>
      <c r="P576" s="81">
        <f>P946</f>
        <v>525200</v>
      </c>
      <c r="Q576" s="81">
        <f t="shared" ref="Q576:U576" si="682">Q946</f>
        <v>530479.06999999995</v>
      </c>
      <c r="R576" s="81">
        <f t="shared" si="682"/>
        <v>535783.86</v>
      </c>
      <c r="S576" s="81">
        <f t="shared" si="682"/>
        <v>0</v>
      </c>
      <c r="T576" s="81">
        <f t="shared" si="682"/>
        <v>0</v>
      </c>
      <c r="U576" s="81">
        <f t="shared" si="682"/>
        <v>0</v>
      </c>
      <c r="V576" s="81">
        <f t="shared" si="668"/>
        <v>525200</v>
      </c>
      <c r="W576" s="81">
        <f t="shared" si="668"/>
        <v>530479.06999999995</v>
      </c>
      <c r="X576" s="81">
        <f t="shared" si="668"/>
        <v>535783.86</v>
      </c>
    </row>
    <row r="577" spans="1:24">
      <c r="A577" s="9"/>
      <c r="B577" s="1"/>
      <c r="C577" s="1"/>
      <c r="D577" s="1"/>
      <c r="E577" s="1"/>
      <c r="F577" s="1"/>
      <c r="G577" s="1"/>
      <c r="H577" s="208"/>
      <c r="I577" s="13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</row>
    <row r="578" spans="1:24">
      <c r="A578" s="23" t="s">
        <v>23</v>
      </c>
      <c r="B578" s="15" t="s">
        <v>402</v>
      </c>
      <c r="C578" s="15" t="s">
        <v>16</v>
      </c>
      <c r="D578" s="15" t="s">
        <v>27</v>
      </c>
      <c r="E578" s="15"/>
      <c r="F578" s="15"/>
      <c r="G578" s="15"/>
      <c r="H578" s="210"/>
      <c r="I578" s="26"/>
      <c r="J578" s="101">
        <f>J579</f>
        <v>30941700</v>
      </c>
      <c r="K578" s="101">
        <f t="shared" ref="K578:O578" si="683">K579</f>
        <v>5569055.0700000003</v>
      </c>
      <c r="L578" s="101">
        <f t="shared" si="683"/>
        <v>5595727.6200000001</v>
      </c>
      <c r="M578" s="101">
        <f t="shared" si="683"/>
        <v>3728658.14</v>
      </c>
      <c r="N578" s="101">
        <f t="shared" si="683"/>
        <v>0</v>
      </c>
      <c r="O578" s="101">
        <f t="shared" si="683"/>
        <v>0</v>
      </c>
      <c r="P578" s="101">
        <f>P579</f>
        <v>34670358.140000001</v>
      </c>
      <c r="Q578" s="101">
        <f t="shared" ref="Q578:U578" si="684">Q579</f>
        <v>5569055.0700000003</v>
      </c>
      <c r="R578" s="101">
        <f t="shared" si="684"/>
        <v>5595727.6200000001</v>
      </c>
      <c r="S578" s="101">
        <f t="shared" si="684"/>
        <v>9297641.7899999991</v>
      </c>
      <c r="T578" s="101">
        <f t="shared" si="684"/>
        <v>0</v>
      </c>
      <c r="U578" s="101">
        <f t="shared" si="684"/>
        <v>0</v>
      </c>
      <c r="V578" s="101">
        <f t="shared" si="668"/>
        <v>43967999.93</v>
      </c>
      <c r="W578" s="101">
        <f t="shared" si="668"/>
        <v>5569055.0700000003</v>
      </c>
      <c r="X578" s="101">
        <f t="shared" si="668"/>
        <v>5595727.6200000001</v>
      </c>
    </row>
    <row r="579" spans="1:24" ht="38.25">
      <c r="A579" s="9" t="s">
        <v>396</v>
      </c>
      <c r="B579" s="1" t="s">
        <v>402</v>
      </c>
      <c r="C579" s="1" t="s">
        <v>16</v>
      </c>
      <c r="D579" s="1" t="s">
        <v>27</v>
      </c>
      <c r="E579" s="1" t="s">
        <v>18</v>
      </c>
      <c r="F579" s="1" t="s">
        <v>70</v>
      </c>
      <c r="G579" s="1" t="s">
        <v>148</v>
      </c>
      <c r="H579" s="208" t="s">
        <v>149</v>
      </c>
      <c r="I579" s="13"/>
      <c r="J579" s="81">
        <f>+J580+J594+J583+J591</f>
        <v>30941700</v>
      </c>
      <c r="K579" s="81">
        <f t="shared" ref="K579:O579" si="685">+K580+K594+K583+K591</f>
        <v>5569055.0700000003</v>
      </c>
      <c r="L579" s="81">
        <f t="shared" si="685"/>
        <v>5595727.6200000001</v>
      </c>
      <c r="M579" s="81">
        <f t="shared" si="685"/>
        <v>3728658.14</v>
      </c>
      <c r="N579" s="81">
        <f t="shared" si="685"/>
        <v>0</v>
      </c>
      <c r="O579" s="81">
        <f t="shared" si="685"/>
        <v>0</v>
      </c>
      <c r="P579" s="81">
        <f>P580+P583+P591+P594</f>
        <v>34670358.140000001</v>
      </c>
      <c r="Q579" s="81">
        <f t="shared" ref="Q579:R579" si="686">Q580+Q583+Q591+Q594</f>
        <v>5569055.0700000003</v>
      </c>
      <c r="R579" s="81">
        <f t="shared" si="686"/>
        <v>5595727.6200000001</v>
      </c>
      <c r="S579" s="81">
        <f>+S580+S594+S583+S591+S597</f>
        <v>9297641.7899999991</v>
      </c>
      <c r="T579" s="81">
        <f t="shared" ref="T579:U579" si="687">+T580+T594+T583+T591+T597</f>
        <v>0</v>
      </c>
      <c r="U579" s="81">
        <f t="shared" si="687"/>
        <v>0</v>
      </c>
      <c r="V579" s="81">
        <f t="shared" si="668"/>
        <v>43967999.93</v>
      </c>
      <c r="W579" s="81">
        <f t="shared" si="668"/>
        <v>5569055.0700000003</v>
      </c>
      <c r="X579" s="81">
        <f t="shared" si="668"/>
        <v>5595727.6200000001</v>
      </c>
    </row>
    <row r="580" spans="1:24" ht="38.25">
      <c r="A580" s="211" t="s">
        <v>374</v>
      </c>
      <c r="B580" s="1" t="s">
        <v>402</v>
      </c>
      <c r="C580" s="1" t="s">
        <v>16</v>
      </c>
      <c r="D580" s="1" t="s">
        <v>27</v>
      </c>
      <c r="E580" s="1" t="s">
        <v>18</v>
      </c>
      <c r="F580" s="1" t="s">
        <v>70</v>
      </c>
      <c r="G580" s="1" t="s">
        <v>148</v>
      </c>
      <c r="H580" s="208" t="s">
        <v>267</v>
      </c>
      <c r="I580" s="13"/>
      <c r="J580" s="81">
        <f>J581</f>
        <v>50000</v>
      </c>
      <c r="K580" s="81">
        <f t="shared" ref="K580:O581" si="688">K581</f>
        <v>0</v>
      </c>
      <c r="L580" s="81">
        <f t="shared" si="688"/>
        <v>0</v>
      </c>
      <c r="M580" s="81">
        <f t="shared" si="688"/>
        <v>0</v>
      </c>
      <c r="N580" s="81">
        <f t="shared" si="688"/>
        <v>0</v>
      </c>
      <c r="O580" s="81">
        <f t="shared" si="688"/>
        <v>0</v>
      </c>
      <c r="P580" s="81">
        <f>P581</f>
        <v>50000</v>
      </c>
      <c r="Q580" s="81">
        <f t="shared" ref="Q580:U581" si="689">Q581</f>
        <v>0</v>
      </c>
      <c r="R580" s="81">
        <f t="shared" si="689"/>
        <v>0</v>
      </c>
      <c r="S580" s="81">
        <f t="shared" si="689"/>
        <v>0</v>
      </c>
      <c r="T580" s="81">
        <f t="shared" si="689"/>
        <v>0</v>
      </c>
      <c r="U580" s="81">
        <f t="shared" si="689"/>
        <v>0</v>
      </c>
      <c r="V580" s="81">
        <f t="shared" si="668"/>
        <v>50000</v>
      </c>
      <c r="W580" s="81">
        <f t="shared" si="668"/>
        <v>0</v>
      </c>
      <c r="X580" s="81">
        <f t="shared" si="668"/>
        <v>0</v>
      </c>
    </row>
    <row r="581" spans="1:24" ht="25.5">
      <c r="A581" s="192" t="s">
        <v>260</v>
      </c>
      <c r="B581" s="1" t="s">
        <v>402</v>
      </c>
      <c r="C581" s="1" t="s">
        <v>16</v>
      </c>
      <c r="D581" s="1" t="s">
        <v>27</v>
      </c>
      <c r="E581" s="1" t="s">
        <v>18</v>
      </c>
      <c r="F581" s="1" t="s">
        <v>70</v>
      </c>
      <c r="G581" s="1" t="s">
        <v>148</v>
      </c>
      <c r="H581" s="208" t="s">
        <v>267</v>
      </c>
      <c r="I581" s="13" t="s">
        <v>94</v>
      </c>
      <c r="J581" s="81">
        <f>J582</f>
        <v>50000</v>
      </c>
      <c r="K581" s="81">
        <f t="shared" si="688"/>
        <v>0</v>
      </c>
      <c r="L581" s="81">
        <f t="shared" si="688"/>
        <v>0</v>
      </c>
      <c r="M581" s="81">
        <f t="shared" si="688"/>
        <v>0</v>
      </c>
      <c r="N581" s="81">
        <f t="shared" si="688"/>
        <v>0</v>
      </c>
      <c r="O581" s="81">
        <f t="shared" si="688"/>
        <v>0</v>
      </c>
      <c r="P581" s="81">
        <f>P582</f>
        <v>50000</v>
      </c>
      <c r="Q581" s="81">
        <f t="shared" si="689"/>
        <v>0</v>
      </c>
      <c r="R581" s="81">
        <f t="shared" si="689"/>
        <v>0</v>
      </c>
      <c r="S581" s="81">
        <f t="shared" si="689"/>
        <v>0</v>
      </c>
      <c r="T581" s="81">
        <f t="shared" si="689"/>
        <v>0</v>
      </c>
      <c r="U581" s="81">
        <f t="shared" si="689"/>
        <v>0</v>
      </c>
      <c r="V581" s="81">
        <f t="shared" ref="V581:X603" si="690">P581+S581</f>
        <v>50000</v>
      </c>
      <c r="W581" s="81">
        <f t="shared" si="690"/>
        <v>0</v>
      </c>
      <c r="X581" s="81">
        <f t="shared" si="690"/>
        <v>0</v>
      </c>
    </row>
    <row r="582" spans="1:24" ht="25.5">
      <c r="A582" s="188" t="s">
        <v>98</v>
      </c>
      <c r="B582" s="1" t="s">
        <v>402</v>
      </c>
      <c r="C582" s="1" t="s">
        <v>16</v>
      </c>
      <c r="D582" s="1" t="s">
        <v>27</v>
      </c>
      <c r="E582" s="1" t="s">
        <v>18</v>
      </c>
      <c r="F582" s="1" t="s">
        <v>70</v>
      </c>
      <c r="G582" s="1" t="s">
        <v>148</v>
      </c>
      <c r="H582" s="208" t="s">
        <v>267</v>
      </c>
      <c r="I582" s="13" t="s">
        <v>95</v>
      </c>
      <c r="J582" s="81">
        <v>50000</v>
      </c>
      <c r="K582" s="81"/>
      <c r="L582" s="81"/>
      <c r="M582" s="81"/>
      <c r="N582" s="81"/>
      <c r="O582" s="81"/>
      <c r="P582" s="81">
        <f>P951</f>
        <v>50000</v>
      </c>
      <c r="Q582" s="81">
        <f t="shared" ref="Q582:U582" si="691">Q951</f>
        <v>0</v>
      </c>
      <c r="R582" s="81">
        <f t="shared" si="691"/>
        <v>0</v>
      </c>
      <c r="S582" s="81">
        <f t="shared" si="691"/>
        <v>0</v>
      </c>
      <c r="T582" s="81">
        <f t="shared" si="691"/>
        <v>0</v>
      </c>
      <c r="U582" s="81">
        <f t="shared" si="691"/>
        <v>0</v>
      </c>
      <c r="V582" s="81">
        <f t="shared" si="690"/>
        <v>50000</v>
      </c>
      <c r="W582" s="81">
        <f t="shared" si="690"/>
        <v>0</v>
      </c>
      <c r="X582" s="81">
        <f t="shared" si="690"/>
        <v>0</v>
      </c>
    </row>
    <row r="583" spans="1:24" ht="38.25">
      <c r="A583" s="212" t="s">
        <v>375</v>
      </c>
      <c r="B583" s="1" t="s">
        <v>402</v>
      </c>
      <c r="C583" s="1" t="s">
        <v>16</v>
      </c>
      <c r="D583" s="1" t="s">
        <v>27</v>
      </c>
      <c r="E583" s="1" t="s">
        <v>18</v>
      </c>
      <c r="F583" s="1" t="s">
        <v>70</v>
      </c>
      <c r="G583" s="1" t="s">
        <v>148</v>
      </c>
      <c r="H583" s="208" t="s">
        <v>347</v>
      </c>
      <c r="I583" s="13"/>
      <c r="J583" s="81">
        <f>J584+J586+J588</f>
        <v>5542700</v>
      </c>
      <c r="K583" s="81">
        <f t="shared" ref="K583:O583" si="692">K584+K586+K588</f>
        <v>5569055.0700000003</v>
      </c>
      <c r="L583" s="81">
        <f t="shared" si="692"/>
        <v>5595727.6200000001</v>
      </c>
      <c r="M583" s="81">
        <f t="shared" si="692"/>
        <v>379507.29000000004</v>
      </c>
      <c r="N583" s="81">
        <f t="shared" si="692"/>
        <v>0</v>
      </c>
      <c r="O583" s="81">
        <f t="shared" si="692"/>
        <v>0</v>
      </c>
      <c r="P583" s="81">
        <f>P584+P586+P588</f>
        <v>5922207.29</v>
      </c>
      <c r="Q583" s="81">
        <f t="shared" ref="Q583:U583" si="693">Q584+Q586+Q588</f>
        <v>5569055.0700000003</v>
      </c>
      <c r="R583" s="81">
        <f t="shared" si="693"/>
        <v>5595727.6200000001</v>
      </c>
      <c r="S583" s="81">
        <f t="shared" si="693"/>
        <v>0</v>
      </c>
      <c r="T583" s="81">
        <f t="shared" si="693"/>
        <v>0</v>
      </c>
      <c r="U583" s="81">
        <f t="shared" si="693"/>
        <v>0</v>
      </c>
      <c r="V583" s="81">
        <f t="shared" si="690"/>
        <v>5922207.29</v>
      </c>
      <c r="W583" s="81">
        <f t="shared" si="690"/>
        <v>5569055.0700000003</v>
      </c>
      <c r="X583" s="81">
        <f t="shared" si="690"/>
        <v>5595727.6200000001</v>
      </c>
    </row>
    <row r="584" spans="1:24" ht="38.25">
      <c r="A584" s="188" t="s">
        <v>96</v>
      </c>
      <c r="B584" s="1" t="s">
        <v>402</v>
      </c>
      <c r="C584" s="1" t="s">
        <v>16</v>
      </c>
      <c r="D584" s="1" t="s">
        <v>27</v>
      </c>
      <c r="E584" s="1" t="s">
        <v>18</v>
      </c>
      <c r="F584" s="1" t="s">
        <v>70</v>
      </c>
      <c r="G584" s="1" t="s">
        <v>148</v>
      </c>
      <c r="H584" s="208" t="s">
        <v>347</v>
      </c>
      <c r="I584" s="13" t="s">
        <v>92</v>
      </c>
      <c r="J584" s="81">
        <f>J585</f>
        <v>2690900</v>
      </c>
      <c r="K584" s="81">
        <f t="shared" ref="K584:O584" si="694">K585</f>
        <v>2717255.07</v>
      </c>
      <c r="L584" s="81">
        <f t="shared" si="694"/>
        <v>2743927.62</v>
      </c>
      <c r="M584" s="81">
        <f t="shared" si="694"/>
        <v>0</v>
      </c>
      <c r="N584" s="81">
        <f t="shared" si="694"/>
        <v>0</v>
      </c>
      <c r="O584" s="81">
        <f t="shared" si="694"/>
        <v>0</v>
      </c>
      <c r="P584" s="81">
        <f>P585</f>
        <v>2690900</v>
      </c>
      <c r="Q584" s="81">
        <f t="shared" ref="Q584:U584" si="695">Q585</f>
        <v>2717255.07</v>
      </c>
      <c r="R584" s="81">
        <f t="shared" si="695"/>
        <v>2743927.62</v>
      </c>
      <c r="S584" s="81">
        <f t="shared" si="695"/>
        <v>0</v>
      </c>
      <c r="T584" s="81">
        <f t="shared" si="695"/>
        <v>0</v>
      </c>
      <c r="U584" s="81">
        <f t="shared" si="695"/>
        <v>0</v>
      </c>
      <c r="V584" s="81">
        <f t="shared" si="690"/>
        <v>2690900</v>
      </c>
      <c r="W584" s="81">
        <f t="shared" si="690"/>
        <v>2717255.07</v>
      </c>
      <c r="X584" s="81">
        <f t="shared" si="690"/>
        <v>2743927.62</v>
      </c>
    </row>
    <row r="585" spans="1:24">
      <c r="A585" s="188" t="s">
        <v>97</v>
      </c>
      <c r="B585" s="1" t="s">
        <v>402</v>
      </c>
      <c r="C585" s="1" t="s">
        <v>16</v>
      </c>
      <c r="D585" s="1" t="s">
        <v>27</v>
      </c>
      <c r="E585" s="1" t="s">
        <v>18</v>
      </c>
      <c r="F585" s="1" t="s">
        <v>70</v>
      </c>
      <c r="G585" s="1" t="s">
        <v>148</v>
      </c>
      <c r="H585" s="208" t="s">
        <v>347</v>
      </c>
      <c r="I585" s="13" t="s">
        <v>93</v>
      </c>
      <c r="J585" s="81">
        <f>1817100+328300+545500</f>
        <v>2690900</v>
      </c>
      <c r="K585" s="81">
        <f>1834996.45+331516.54+550742.08</f>
        <v>2717255.07</v>
      </c>
      <c r="L585" s="81">
        <f>1853046.42+334831.71+556049.49</f>
        <v>2743927.62</v>
      </c>
      <c r="M585" s="81"/>
      <c r="N585" s="81"/>
      <c r="O585" s="81"/>
      <c r="P585" s="81">
        <f>P1696</f>
        <v>2690900</v>
      </c>
      <c r="Q585" s="81">
        <f t="shared" ref="Q585:U585" si="696">Q1696</f>
        <v>2717255.07</v>
      </c>
      <c r="R585" s="81">
        <f t="shared" si="696"/>
        <v>2743927.62</v>
      </c>
      <c r="S585" s="81">
        <f t="shared" si="696"/>
        <v>0</v>
      </c>
      <c r="T585" s="81">
        <f t="shared" si="696"/>
        <v>0</v>
      </c>
      <c r="U585" s="81">
        <f t="shared" si="696"/>
        <v>0</v>
      </c>
      <c r="V585" s="81">
        <f t="shared" si="690"/>
        <v>2690900</v>
      </c>
      <c r="W585" s="81">
        <f t="shared" si="690"/>
        <v>2717255.07</v>
      </c>
      <c r="X585" s="81">
        <f t="shared" si="690"/>
        <v>2743927.62</v>
      </c>
    </row>
    <row r="586" spans="1:24" ht="25.5">
      <c r="A586" s="189" t="s">
        <v>260</v>
      </c>
      <c r="B586" s="1" t="s">
        <v>402</v>
      </c>
      <c r="C586" s="1" t="s">
        <v>16</v>
      </c>
      <c r="D586" s="1" t="s">
        <v>27</v>
      </c>
      <c r="E586" s="1" t="s">
        <v>18</v>
      </c>
      <c r="F586" s="1" t="s">
        <v>70</v>
      </c>
      <c r="G586" s="1" t="s">
        <v>148</v>
      </c>
      <c r="H586" s="208" t="s">
        <v>347</v>
      </c>
      <c r="I586" s="13" t="s">
        <v>94</v>
      </c>
      <c r="J586" s="81">
        <f>J587</f>
        <v>2300000</v>
      </c>
      <c r="K586" s="81">
        <f t="shared" ref="K586:O586" si="697">K587</f>
        <v>2300000</v>
      </c>
      <c r="L586" s="81">
        <f t="shared" si="697"/>
        <v>2300000</v>
      </c>
      <c r="M586" s="81">
        <f t="shared" si="697"/>
        <v>836407.29</v>
      </c>
      <c r="N586" s="81">
        <f t="shared" si="697"/>
        <v>0</v>
      </c>
      <c r="O586" s="81">
        <f t="shared" si="697"/>
        <v>0</v>
      </c>
      <c r="P586" s="81">
        <f>P587</f>
        <v>3136407.29</v>
      </c>
      <c r="Q586" s="81">
        <f t="shared" ref="Q586:U586" si="698">Q587</f>
        <v>2300000</v>
      </c>
      <c r="R586" s="81">
        <f t="shared" si="698"/>
        <v>2300000</v>
      </c>
      <c r="S586" s="81">
        <f t="shared" si="698"/>
        <v>0</v>
      </c>
      <c r="T586" s="81">
        <f t="shared" si="698"/>
        <v>0</v>
      </c>
      <c r="U586" s="81">
        <f t="shared" si="698"/>
        <v>0</v>
      </c>
      <c r="V586" s="81">
        <f t="shared" si="690"/>
        <v>3136407.29</v>
      </c>
      <c r="W586" s="81">
        <f t="shared" si="690"/>
        <v>2300000</v>
      </c>
      <c r="X586" s="81">
        <f t="shared" si="690"/>
        <v>2300000</v>
      </c>
    </row>
    <row r="587" spans="1:24" ht="25.5">
      <c r="A587" s="188" t="s">
        <v>98</v>
      </c>
      <c r="B587" s="1" t="s">
        <v>402</v>
      </c>
      <c r="C587" s="1" t="s">
        <v>16</v>
      </c>
      <c r="D587" s="1" t="s">
        <v>27</v>
      </c>
      <c r="E587" s="1" t="s">
        <v>18</v>
      </c>
      <c r="F587" s="1" t="s">
        <v>70</v>
      </c>
      <c r="G587" s="1" t="s">
        <v>148</v>
      </c>
      <c r="H587" s="208" t="s">
        <v>347</v>
      </c>
      <c r="I587" s="13" t="s">
        <v>95</v>
      </c>
      <c r="J587" s="81">
        <f>1580000+270000+450000</f>
        <v>2300000</v>
      </c>
      <c r="K587" s="81">
        <f>1580000+270000+450000</f>
        <v>2300000</v>
      </c>
      <c r="L587" s="81">
        <f>1580000+270000+450000</f>
        <v>2300000</v>
      </c>
      <c r="M587" s="81">
        <f>456900+379507.29</f>
        <v>836407.29</v>
      </c>
      <c r="N587" s="81"/>
      <c r="O587" s="81"/>
      <c r="P587" s="81">
        <f>P954+P1698</f>
        <v>3136407.29</v>
      </c>
      <c r="Q587" s="81">
        <f t="shared" ref="Q587:U587" si="699">Q954+Q1698</f>
        <v>2300000</v>
      </c>
      <c r="R587" s="81">
        <f t="shared" si="699"/>
        <v>2300000</v>
      </c>
      <c r="S587" s="81">
        <f t="shared" si="699"/>
        <v>0</v>
      </c>
      <c r="T587" s="81">
        <f t="shared" si="699"/>
        <v>0</v>
      </c>
      <c r="U587" s="81">
        <f t="shared" si="699"/>
        <v>0</v>
      </c>
      <c r="V587" s="81">
        <f t="shared" si="690"/>
        <v>3136407.29</v>
      </c>
      <c r="W587" s="81">
        <f t="shared" si="690"/>
        <v>2300000</v>
      </c>
      <c r="X587" s="81">
        <f t="shared" si="690"/>
        <v>2300000</v>
      </c>
    </row>
    <row r="588" spans="1:24">
      <c r="A588" s="188" t="s">
        <v>80</v>
      </c>
      <c r="B588" s="1" t="s">
        <v>402</v>
      </c>
      <c r="C588" s="1" t="s">
        <v>16</v>
      </c>
      <c r="D588" s="1" t="s">
        <v>27</v>
      </c>
      <c r="E588" s="1" t="s">
        <v>18</v>
      </c>
      <c r="F588" s="1" t="s">
        <v>70</v>
      </c>
      <c r="G588" s="1" t="s">
        <v>148</v>
      </c>
      <c r="H588" s="208" t="s">
        <v>347</v>
      </c>
      <c r="I588" s="13" t="s">
        <v>77</v>
      </c>
      <c r="J588" s="81">
        <f>J589+J590</f>
        <v>551800</v>
      </c>
      <c r="K588" s="81">
        <f t="shared" ref="K588:O588" si="700">K589+K590</f>
        <v>551800</v>
      </c>
      <c r="L588" s="81">
        <f t="shared" si="700"/>
        <v>551800</v>
      </c>
      <c r="M588" s="81">
        <f t="shared" si="700"/>
        <v>-456900</v>
      </c>
      <c r="N588" s="81">
        <f t="shared" si="700"/>
        <v>0</v>
      </c>
      <c r="O588" s="81">
        <f t="shared" si="700"/>
        <v>0</v>
      </c>
      <c r="P588" s="81">
        <f>P589+P590</f>
        <v>94900</v>
      </c>
      <c r="Q588" s="81">
        <f t="shared" ref="Q588:U588" si="701">Q589+Q590</f>
        <v>551800</v>
      </c>
      <c r="R588" s="81">
        <f t="shared" si="701"/>
        <v>551800</v>
      </c>
      <c r="S588" s="81">
        <f t="shared" si="701"/>
        <v>0</v>
      </c>
      <c r="T588" s="81">
        <f t="shared" si="701"/>
        <v>0</v>
      </c>
      <c r="U588" s="81">
        <f t="shared" si="701"/>
        <v>0</v>
      </c>
      <c r="V588" s="81">
        <f t="shared" si="690"/>
        <v>94900</v>
      </c>
      <c r="W588" s="81">
        <f t="shared" si="690"/>
        <v>551800</v>
      </c>
      <c r="X588" s="81">
        <f t="shared" si="690"/>
        <v>551800</v>
      </c>
    </row>
    <row r="589" spans="1:24" ht="25.5">
      <c r="A589" s="192" t="s">
        <v>81</v>
      </c>
      <c r="B589" s="1" t="s">
        <v>402</v>
      </c>
      <c r="C589" s="1" t="s">
        <v>16</v>
      </c>
      <c r="D589" s="1" t="s">
        <v>27</v>
      </c>
      <c r="E589" s="1" t="s">
        <v>18</v>
      </c>
      <c r="F589" s="1" t="s">
        <v>70</v>
      </c>
      <c r="G589" s="1" t="s">
        <v>148</v>
      </c>
      <c r="H589" s="208" t="s">
        <v>347</v>
      </c>
      <c r="I589" s="13" t="s">
        <v>78</v>
      </c>
      <c r="J589" s="81">
        <v>505800</v>
      </c>
      <c r="K589" s="81">
        <v>505800</v>
      </c>
      <c r="L589" s="81">
        <v>505800</v>
      </c>
      <c r="M589" s="81">
        <v>-456900</v>
      </c>
      <c r="N589" s="81"/>
      <c r="O589" s="81"/>
      <c r="P589" s="81">
        <f>P956</f>
        <v>48900</v>
      </c>
      <c r="Q589" s="81">
        <f t="shared" ref="Q589:U589" si="702">Q956</f>
        <v>505800</v>
      </c>
      <c r="R589" s="81">
        <f t="shared" si="702"/>
        <v>505800</v>
      </c>
      <c r="S589" s="81">
        <f t="shared" si="702"/>
        <v>0</v>
      </c>
      <c r="T589" s="81">
        <f t="shared" si="702"/>
        <v>0</v>
      </c>
      <c r="U589" s="81">
        <f t="shared" si="702"/>
        <v>0</v>
      </c>
      <c r="V589" s="81">
        <f t="shared" si="690"/>
        <v>48900</v>
      </c>
      <c r="W589" s="81">
        <f t="shared" si="690"/>
        <v>505800</v>
      </c>
      <c r="X589" s="81">
        <f t="shared" si="690"/>
        <v>505800</v>
      </c>
    </row>
    <row r="590" spans="1:24">
      <c r="A590" s="190" t="s">
        <v>125</v>
      </c>
      <c r="B590" s="1" t="s">
        <v>402</v>
      </c>
      <c r="C590" s="1" t="s">
        <v>16</v>
      </c>
      <c r="D590" s="1" t="s">
        <v>27</v>
      </c>
      <c r="E590" s="1" t="s">
        <v>18</v>
      </c>
      <c r="F590" s="1" t="s">
        <v>70</v>
      </c>
      <c r="G590" s="1" t="s">
        <v>148</v>
      </c>
      <c r="H590" s="208" t="s">
        <v>347</v>
      </c>
      <c r="I590" s="13" t="s">
        <v>124</v>
      </c>
      <c r="J590" s="81">
        <v>46000</v>
      </c>
      <c r="K590" s="81">
        <v>46000</v>
      </c>
      <c r="L590" s="81">
        <v>46000</v>
      </c>
      <c r="M590" s="81"/>
      <c r="N590" s="81"/>
      <c r="O590" s="81"/>
      <c r="P590" s="81">
        <f>P1700</f>
        <v>46000</v>
      </c>
      <c r="Q590" s="81">
        <f t="shared" ref="Q590:U590" si="703">Q1700</f>
        <v>46000</v>
      </c>
      <c r="R590" s="81">
        <f t="shared" si="703"/>
        <v>46000</v>
      </c>
      <c r="S590" s="81">
        <f t="shared" si="703"/>
        <v>0</v>
      </c>
      <c r="T590" s="81">
        <f t="shared" si="703"/>
        <v>0</v>
      </c>
      <c r="U590" s="81">
        <f t="shared" si="703"/>
        <v>0</v>
      </c>
      <c r="V590" s="81">
        <f t="shared" si="690"/>
        <v>46000</v>
      </c>
      <c r="W590" s="81">
        <f t="shared" si="690"/>
        <v>46000</v>
      </c>
      <c r="X590" s="81">
        <f t="shared" si="690"/>
        <v>46000</v>
      </c>
    </row>
    <row r="591" spans="1:24" ht="25.5">
      <c r="A591" s="190" t="s">
        <v>420</v>
      </c>
      <c r="B591" s="1" t="s">
        <v>402</v>
      </c>
      <c r="C591" s="1" t="s">
        <v>16</v>
      </c>
      <c r="D591" s="1" t="s">
        <v>27</v>
      </c>
      <c r="E591" s="1" t="s">
        <v>18</v>
      </c>
      <c r="F591" s="1" t="s">
        <v>70</v>
      </c>
      <c r="G591" s="1" t="s">
        <v>148</v>
      </c>
      <c r="H591" s="208" t="s">
        <v>419</v>
      </c>
      <c r="I591" s="13"/>
      <c r="J591" s="81">
        <f>J592</f>
        <v>0</v>
      </c>
      <c r="K591" s="81">
        <f t="shared" ref="K591:O592" si="704">K592</f>
        <v>0</v>
      </c>
      <c r="L591" s="81">
        <f t="shared" si="704"/>
        <v>0</v>
      </c>
      <c r="M591" s="81">
        <f t="shared" si="704"/>
        <v>3349150.85</v>
      </c>
      <c r="N591" s="81">
        <f t="shared" si="704"/>
        <v>0</v>
      </c>
      <c r="O591" s="81">
        <f t="shared" si="704"/>
        <v>0</v>
      </c>
      <c r="P591" s="81">
        <f>P592</f>
        <v>3349150.85</v>
      </c>
      <c r="Q591" s="81">
        <f t="shared" ref="Q591:U592" si="705">Q592</f>
        <v>0</v>
      </c>
      <c r="R591" s="81">
        <f t="shared" si="705"/>
        <v>0</v>
      </c>
      <c r="S591" s="81">
        <f t="shared" si="705"/>
        <v>0</v>
      </c>
      <c r="T591" s="81">
        <f t="shared" si="705"/>
        <v>0</v>
      </c>
      <c r="U591" s="81">
        <f t="shared" si="705"/>
        <v>0</v>
      </c>
      <c r="V591" s="81">
        <f t="shared" si="690"/>
        <v>3349150.85</v>
      </c>
      <c r="W591" s="81">
        <f t="shared" si="690"/>
        <v>0</v>
      </c>
      <c r="X591" s="81">
        <f t="shared" si="690"/>
        <v>0</v>
      </c>
    </row>
    <row r="592" spans="1:24" ht="25.5">
      <c r="A592" s="189" t="s">
        <v>260</v>
      </c>
      <c r="B592" s="1" t="s">
        <v>402</v>
      </c>
      <c r="C592" s="1" t="s">
        <v>16</v>
      </c>
      <c r="D592" s="1" t="s">
        <v>27</v>
      </c>
      <c r="E592" s="1" t="s">
        <v>18</v>
      </c>
      <c r="F592" s="1" t="s">
        <v>70</v>
      </c>
      <c r="G592" s="1" t="s">
        <v>148</v>
      </c>
      <c r="H592" s="208" t="s">
        <v>419</v>
      </c>
      <c r="I592" s="13" t="s">
        <v>94</v>
      </c>
      <c r="J592" s="81">
        <f>J593</f>
        <v>0</v>
      </c>
      <c r="K592" s="81">
        <f t="shared" si="704"/>
        <v>0</v>
      </c>
      <c r="L592" s="81">
        <f t="shared" si="704"/>
        <v>0</v>
      </c>
      <c r="M592" s="81">
        <f t="shared" si="704"/>
        <v>3349150.85</v>
      </c>
      <c r="N592" s="81">
        <f t="shared" si="704"/>
        <v>0</v>
      </c>
      <c r="O592" s="81">
        <f t="shared" si="704"/>
        <v>0</v>
      </c>
      <c r="P592" s="81">
        <f>P593</f>
        <v>3349150.85</v>
      </c>
      <c r="Q592" s="81">
        <f t="shared" si="705"/>
        <v>0</v>
      </c>
      <c r="R592" s="81">
        <f t="shared" si="705"/>
        <v>0</v>
      </c>
      <c r="S592" s="81">
        <f t="shared" si="705"/>
        <v>0</v>
      </c>
      <c r="T592" s="81">
        <f t="shared" si="705"/>
        <v>0</v>
      </c>
      <c r="U592" s="81">
        <f t="shared" si="705"/>
        <v>0</v>
      </c>
      <c r="V592" s="81">
        <f t="shared" si="690"/>
        <v>3349150.85</v>
      </c>
      <c r="W592" s="81">
        <f t="shared" si="690"/>
        <v>0</v>
      </c>
      <c r="X592" s="81">
        <f t="shared" si="690"/>
        <v>0</v>
      </c>
    </row>
    <row r="593" spans="1:24" ht="25.5">
      <c r="A593" s="188" t="s">
        <v>98</v>
      </c>
      <c r="B593" s="1" t="s">
        <v>402</v>
      </c>
      <c r="C593" s="1" t="s">
        <v>16</v>
      </c>
      <c r="D593" s="1" t="s">
        <v>27</v>
      </c>
      <c r="E593" s="1" t="s">
        <v>18</v>
      </c>
      <c r="F593" s="1" t="s">
        <v>70</v>
      </c>
      <c r="G593" s="1" t="s">
        <v>148</v>
      </c>
      <c r="H593" s="208" t="s">
        <v>419</v>
      </c>
      <c r="I593" s="13" t="s">
        <v>95</v>
      </c>
      <c r="J593" s="81"/>
      <c r="K593" s="81"/>
      <c r="L593" s="81"/>
      <c r="M593" s="81">
        <v>3349150.85</v>
      </c>
      <c r="N593" s="81"/>
      <c r="O593" s="81"/>
      <c r="P593" s="81">
        <f>P959</f>
        <v>3349150.85</v>
      </c>
      <c r="Q593" s="81">
        <f t="shared" ref="Q593:U593" si="706">Q959</f>
        <v>0</v>
      </c>
      <c r="R593" s="81">
        <f t="shared" si="706"/>
        <v>0</v>
      </c>
      <c r="S593" s="81">
        <f t="shared" si="706"/>
        <v>0</v>
      </c>
      <c r="T593" s="81">
        <f t="shared" si="706"/>
        <v>0</v>
      </c>
      <c r="U593" s="81">
        <f t="shared" si="706"/>
        <v>0</v>
      </c>
      <c r="V593" s="81">
        <f t="shared" si="690"/>
        <v>3349150.85</v>
      </c>
      <c r="W593" s="81">
        <f t="shared" si="690"/>
        <v>0</v>
      </c>
      <c r="X593" s="81">
        <f t="shared" si="690"/>
        <v>0</v>
      </c>
    </row>
    <row r="594" spans="1:24" ht="25.5">
      <c r="A594" s="209" t="s">
        <v>312</v>
      </c>
      <c r="B594" s="1" t="s">
        <v>402</v>
      </c>
      <c r="C594" s="1" t="s">
        <v>16</v>
      </c>
      <c r="D594" s="1" t="s">
        <v>27</v>
      </c>
      <c r="E594" s="1" t="s">
        <v>18</v>
      </c>
      <c r="F594" s="1" t="s">
        <v>70</v>
      </c>
      <c r="G594" s="1" t="s">
        <v>148</v>
      </c>
      <c r="H594" s="208" t="s">
        <v>311</v>
      </c>
      <c r="I594" s="213"/>
      <c r="J594" s="81">
        <f>J595</f>
        <v>25349000</v>
      </c>
      <c r="K594" s="81">
        <f t="shared" ref="K594:O595" si="707">K595</f>
        <v>0</v>
      </c>
      <c r="L594" s="81">
        <f t="shared" si="707"/>
        <v>0</v>
      </c>
      <c r="M594" s="81">
        <f t="shared" si="707"/>
        <v>0</v>
      </c>
      <c r="N594" s="81">
        <f t="shared" si="707"/>
        <v>0</v>
      </c>
      <c r="O594" s="81">
        <f t="shared" si="707"/>
        <v>0</v>
      </c>
      <c r="P594" s="81">
        <f>P595</f>
        <v>25349000</v>
      </c>
      <c r="Q594" s="81">
        <f t="shared" ref="Q594:U595" si="708">Q595</f>
        <v>0</v>
      </c>
      <c r="R594" s="81">
        <f t="shared" si="708"/>
        <v>0</v>
      </c>
      <c r="S594" s="81">
        <f t="shared" si="708"/>
        <v>0</v>
      </c>
      <c r="T594" s="81">
        <f t="shared" si="708"/>
        <v>0</v>
      </c>
      <c r="U594" s="81">
        <f t="shared" si="708"/>
        <v>0</v>
      </c>
      <c r="V594" s="81">
        <f t="shared" si="690"/>
        <v>25349000</v>
      </c>
      <c r="W594" s="81">
        <f t="shared" si="690"/>
        <v>0</v>
      </c>
      <c r="X594" s="81">
        <f t="shared" si="690"/>
        <v>0</v>
      </c>
    </row>
    <row r="595" spans="1:24" ht="25.5">
      <c r="A595" s="189" t="s">
        <v>260</v>
      </c>
      <c r="B595" s="1" t="s">
        <v>402</v>
      </c>
      <c r="C595" s="1" t="s">
        <v>16</v>
      </c>
      <c r="D595" s="1" t="s">
        <v>27</v>
      </c>
      <c r="E595" s="1" t="s">
        <v>18</v>
      </c>
      <c r="F595" s="1" t="s">
        <v>70</v>
      </c>
      <c r="G595" s="1" t="s">
        <v>148</v>
      </c>
      <c r="H595" s="208" t="s">
        <v>311</v>
      </c>
      <c r="I595" s="213" t="s">
        <v>94</v>
      </c>
      <c r="J595" s="81">
        <f>J596</f>
        <v>25349000</v>
      </c>
      <c r="K595" s="81">
        <f t="shared" si="707"/>
        <v>0</v>
      </c>
      <c r="L595" s="81">
        <f t="shared" si="707"/>
        <v>0</v>
      </c>
      <c r="M595" s="81">
        <f t="shared" si="707"/>
        <v>0</v>
      </c>
      <c r="N595" s="81">
        <f t="shared" si="707"/>
        <v>0</v>
      </c>
      <c r="O595" s="81">
        <f t="shared" si="707"/>
        <v>0</v>
      </c>
      <c r="P595" s="81">
        <f>P596</f>
        <v>25349000</v>
      </c>
      <c r="Q595" s="81">
        <f t="shared" si="708"/>
        <v>0</v>
      </c>
      <c r="R595" s="81">
        <f t="shared" si="708"/>
        <v>0</v>
      </c>
      <c r="S595" s="81">
        <f t="shared" si="708"/>
        <v>0</v>
      </c>
      <c r="T595" s="81">
        <f t="shared" si="708"/>
        <v>0</v>
      </c>
      <c r="U595" s="81">
        <f t="shared" si="708"/>
        <v>0</v>
      </c>
      <c r="V595" s="81">
        <f t="shared" si="690"/>
        <v>25349000</v>
      </c>
      <c r="W595" s="81">
        <f t="shared" si="690"/>
        <v>0</v>
      </c>
      <c r="X595" s="81">
        <f t="shared" si="690"/>
        <v>0</v>
      </c>
    </row>
    <row r="596" spans="1:24" ht="25.5">
      <c r="A596" s="188" t="s">
        <v>98</v>
      </c>
      <c r="B596" s="1" t="s">
        <v>402</v>
      </c>
      <c r="C596" s="1" t="s">
        <v>16</v>
      </c>
      <c r="D596" s="1" t="s">
        <v>27</v>
      </c>
      <c r="E596" s="1" t="s">
        <v>18</v>
      </c>
      <c r="F596" s="1" t="s">
        <v>70</v>
      </c>
      <c r="G596" s="1" t="s">
        <v>148</v>
      </c>
      <c r="H596" s="208" t="s">
        <v>311</v>
      </c>
      <c r="I596" s="213" t="s">
        <v>95</v>
      </c>
      <c r="J596" s="81">
        <v>25349000</v>
      </c>
      <c r="K596" s="81"/>
      <c r="L596" s="81"/>
      <c r="M596" s="81"/>
      <c r="N596" s="81"/>
      <c r="O596" s="81"/>
      <c r="P596" s="81">
        <f>P962+P1252+P1307+P1367+P1434+P1483</f>
        <v>25349000</v>
      </c>
      <c r="Q596" s="81">
        <f t="shared" ref="Q596:U596" si="709">Q962+Q1252+Q1307+Q1367+Q1434+Q1483</f>
        <v>0</v>
      </c>
      <c r="R596" s="81">
        <f t="shared" si="709"/>
        <v>0</v>
      </c>
      <c r="S596" s="81">
        <f t="shared" si="709"/>
        <v>0</v>
      </c>
      <c r="T596" s="81">
        <f t="shared" si="709"/>
        <v>0</v>
      </c>
      <c r="U596" s="81">
        <f t="shared" si="709"/>
        <v>0</v>
      </c>
      <c r="V596" s="81">
        <f t="shared" si="690"/>
        <v>25349000</v>
      </c>
      <c r="W596" s="81">
        <f t="shared" si="690"/>
        <v>0</v>
      </c>
      <c r="X596" s="81">
        <f t="shared" si="690"/>
        <v>0</v>
      </c>
    </row>
    <row r="597" spans="1:24" ht="25.5">
      <c r="A597" s="303" t="s">
        <v>471</v>
      </c>
      <c r="B597" s="1" t="s">
        <v>402</v>
      </c>
      <c r="C597" s="1" t="s">
        <v>16</v>
      </c>
      <c r="D597" s="1" t="s">
        <v>27</v>
      </c>
      <c r="E597" s="1" t="s">
        <v>18</v>
      </c>
      <c r="F597" s="1" t="s">
        <v>70</v>
      </c>
      <c r="G597" s="1" t="s">
        <v>148</v>
      </c>
      <c r="H597" s="208" t="s">
        <v>470</v>
      </c>
      <c r="I597" s="213"/>
      <c r="J597" s="81"/>
      <c r="K597" s="81"/>
      <c r="L597" s="81"/>
      <c r="M597" s="81"/>
      <c r="N597" s="81"/>
      <c r="O597" s="81"/>
      <c r="P597" s="81"/>
      <c r="Q597" s="81"/>
      <c r="R597" s="81"/>
      <c r="S597" s="81">
        <f>S598</f>
        <v>9297641.7899999991</v>
      </c>
      <c r="T597" s="81">
        <f t="shared" ref="T597:T598" si="710">T598</f>
        <v>0</v>
      </c>
      <c r="U597" s="81">
        <f t="shared" ref="U597:U598" si="711">U598</f>
        <v>0</v>
      </c>
      <c r="V597" s="81">
        <f t="shared" si="690"/>
        <v>9297641.7899999991</v>
      </c>
      <c r="W597" s="81">
        <f t="shared" si="690"/>
        <v>0</v>
      </c>
      <c r="X597" s="81">
        <f t="shared" si="690"/>
        <v>0</v>
      </c>
    </row>
    <row r="598" spans="1:24" ht="25.5">
      <c r="A598" s="189" t="s">
        <v>260</v>
      </c>
      <c r="B598" s="1" t="s">
        <v>402</v>
      </c>
      <c r="C598" s="1" t="s">
        <v>16</v>
      </c>
      <c r="D598" s="1" t="s">
        <v>27</v>
      </c>
      <c r="E598" s="1" t="s">
        <v>18</v>
      </c>
      <c r="F598" s="1" t="s">
        <v>70</v>
      </c>
      <c r="G598" s="1" t="s">
        <v>148</v>
      </c>
      <c r="H598" s="208" t="s">
        <v>470</v>
      </c>
      <c r="I598" s="213" t="s">
        <v>94</v>
      </c>
      <c r="J598" s="81"/>
      <c r="K598" s="81"/>
      <c r="L598" s="81"/>
      <c r="M598" s="81"/>
      <c r="N598" s="81"/>
      <c r="O598" s="81"/>
      <c r="P598" s="81"/>
      <c r="Q598" s="81"/>
      <c r="R598" s="81"/>
      <c r="S598" s="81">
        <f>S599</f>
        <v>9297641.7899999991</v>
      </c>
      <c r="T598" s="81">
        <f t="shared" si="710"/>
        <v>0</v>
      </c>
      <c r="U598" s="81">
        <f t="shared" si="711"/>
        <v>0</v>
      </c>
      <c r="V598" s="81">
        <f t="shared" si="690"/>
        <v>9297641.7899999991</v>
      </c>
      <c r="W598" s="81">
        <f t="shared" si="690"/>
        <v>0</v>
      </c>
      <c r="X598" s="81">
        <f t="shared" si="690"/>
        <v>0</v>
      </c>
    </row>
    <row r="599" spans="1:24" ht="25.5">
      <c r="A599" s="188" t="s">
        <v>98</v>
      </c>
      <c r="B599" s="1" t="s">
        <v>402</v>
      </c>
      <c r="C599" s="1" t="s">
        <v>16</v>
      </c>
      <c r="D599" s="1" t="s">
        <v>27</v>
      </c>
      <c r="E599" s="1" t="s">
        <v>18</v>
      </c>
      <c r="F599" s="1" t="s">
        <v>70</v>
      </c>
      <c r="G599" s="1" t="s">
        <v>148</v>
      </c>
      <c r="H599" s="208" t="s">
        <v>470</v>
      </c>
      <c r="I599" s="213" t="s">
        <v>95</v>
      </c>
      <c r="J599" s="81"/>
      <c r="K599" s="81"/>
      <c r="L599" s="81"/>
      <c r="M599" s="81"/>
      <c r="N599" s="81"/>
      <c r="O599" s="81"/>
      <c r="P599" s="81"/>
      <c r="Q599" s="81"/>
      <c r="R599" s="81"/>
      <c r="S599" s="81">
        <f>S965</f>
        <v>9297641.7899999991</v>
      </c>
      <c r="T599" s="81">
        <f t="shared" ref="T599:U599" si="712">T965</f>
        <v>0</v>
      </c>
      <c r="U599" s="81">
        <f t="shared" si="712"/>
        <v>0</v>
      </c>
      <c r="V599" s="81">
        <f t="shared" si="690"/>
        <v>9297641.7899999991</v>
      </c>
      <c r="W599" s="81">
        <f t="shared" si="690"/>
        <v>0</v>
      </c>
      <c r="X599" s="81">
        <f t="shared" si="690"/>
        <v>0</v>
      </c>
    </row>
    <row r="600" spans="1:24">
      <c r="A600" s="188"/>
      <c r="B600" s="1"/>
      <c r="C600" s="1"/>
      <c r="D600" s="1"/>
      <c r="E600" s="1"/>
      <c r="F600" s="1"/>
      <c r="G600" s="1"/>
      <c r="H600" s="208"/>
      <c r="I600" s="213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</row>
    <row r="601" spans="1:24">
      <c r="A601" s="23" t="s">
        <v>60</v>
      </c>
      <c r="B601" s="14" t="s">
        <v>402</v>
      </c>
      <c r="C601" s="14" t="s">
        <v>16</v>
      </c>
      <c r="D601" s="14" t="s">
        <v>14</v>
      </c>
      <c r="E601" s="14"/>
      <c r="F601" s="14"/>
      <c r="G601" s="14"/>
      <c r="H601" s="1"/>
      <c r="I601" s="13"/>
      <c r="J601" s="101">
        <f>J602+J618+J613</f>
        <v>27679339</v>
      </c>
      <c r="K601" s="101">
        <f>K602+K618+K613</f>
        <v>26191349.690000001</v>
      </c>
      <c r="L601" s="101">
        <f>L602+L618+L613</f>
        <v>27031449.68</v>
      </c>
      <c r="M601" s="101">
        <f t="shared" ref="M601:O601" si="713">M602+M618+M613</f>
        <v>9407967.2100000009</v>
      </c>
      <c r="N601" s="101">
        <f t="shared" si="713"/>
        <v>0</v>
      </c>
      <c r="O601" s="101">
        <f t="shared" si="713"/>
        <v>0</v>
      </c>
      <c r="P601" s="101">
        <f>P602+P613+P618</f>
        <v>37087306.210000001</v>
      </c>
      <c r="Q601" s="101">
        <f t="shared" ref="Q601:R601" si="714">Q602+Q613+Q618</f>
        <v>26191349.690000001</v>
      </c>
      <c r="R601" s="101">
        <f t="shared" si="714"/>
        <v>27031449.68</v>
      </c>
      <c r="S601" s="101">
        <f t="shared" ref="S601:U601" si="715">S602+S618+S613</f>
        <v>79208530.890000001</v>
      </c>
      <c r="T601" s="101">
        <f t="shared" si="715"/>
        <v>0</v>
      </c>
      <c r="U601" s="101">
        <f t="shared" si="715"/>
        <v>0</v>
      </c>
      <c r="V601" s="101">
        <f t="shared" si="690"/>
        <v>116295837.09999999</v>
      </c>
      <c r="W601" s="101">
        <f t="shared" si="690"/>
        <v>26191349.690000001</v>
      </c>
      <c r="X601" s="101">
        <f t="shared" si="690"/>
        <v>27031449.68</v>
      </c>
    </row>
    <row r="602" spans="1:24" ht="38.25">
      <c r="A602" s="9" t="s">
        <v>396</v>
      </c>
      <c r="B602" s="1" t="s">
        <v>402</v>
      </c>
      <c r="C602" s="1" t="s">
        <v>16</v>
      </c>
      <c r="D602" s="1" t="s">
        <v>14</v>
      </c>
      <c r="E602" s="1" t="s">
        <v>18</v>
      </c>
      <c r="F602" s="1" t="s">
        <v>70</v>
      </c>
      <c r="G602" s="1" t="s">
        <v>148</v>
      </c>
      <c r="H602" s="208" t="s">
        <v>149</v>
      </c>
      <c r="I602" s="13"/>
      <c r="J602" s="81">
        <f>+J610+J603</f>
        <v>3571250</v>
      </c>
      <c r="K602" s="81">
        <f t="shared" ref="K602:O602" si="716">+K610+K603</f>
        <v>1874149.69</v>
      </c>
      <c r="L602" s="81">
        <f t="shared" si="716"/>
        <v>1883149.6800000002</v>
      </c>
      <c r="M602" s="81">
        <f t="shared" si="716"/>
        <v>0</v>
      </c>
      <c r="N602" s="81">
        <f t="shared" si="716"/>
        <v>0</v>
      </c>
      <c r="O602" s="81">
        <f t="shared" si="716"/>
        <v>0</v>
      </c>
      <c r="P602" s="81">
        <f>P603+P610</f>
        <v>3571250</v>
      </c>
      <c r="Q602" s="81">
        <f t="shared" ref="Q602:R602" si="717">Q603+Q610</f>
        <v>1874149.69</v>
      </c>
      <c r="R602" s="81">
        <f t="shared" si="717"/>
        <v>1883149.6800000002</v>
      </c>
      <c r="S602" s="81">
        <f t="shared" ref="S602:U602" si="718">+S610+S603</f>
        <v>300000</v>
      </c>
      <c r="T602" s="81">
        <f t="shared" si="718"/>
        <v>0</v>
      </c>
      <c r="U602" s="81">
        <f t="shared" si="718"/>
        <v>0</v>
      </c>
      <c r="V602" s="81">
        <f t="shared" si="690"/>
        <v>3871250</v>
      </c>
      <c r="W602" s="81">
        <f t="shared" si="690"/>
        <v>1874149.69</v>
      </c>
      <c r="X602" s="81">
        <f t="shared" si="690"/>
        <v>1883149.6800000002</v>
      </c>
    </row>
    <row r="603" spans="1:24" ht="38.25">
      <c r="A603" s="9" t="s">
        <v>349</v>
      </c>
      <c r="B603" s="1" t="s">
        <v>402</v>
      </c>
      <c r="C603" s="1" t="s">
        <v>16</v>
      </c>
      <c r="D603" s="1" t="s">
        <v>14</v>
      </c>
      <c r="E603" s="1" t="s">
        <v>18</v>
      </c>
      <c r="F603" s="1" t="s">
        <v>70</v>
      </c>
      <c r="G603" s="1" t="s">
        <v>148</v>
      </c>
      <c r="H603" s="208" t="s">
        <v>348</v>
      </c>
      <c r="I603" s="13"/>
      <c r="J603" s="81">
        <f>J604+J606+J608</f>
        <v>1875250</v>
      </c>
      <c r="K603" s="81">
        <f t="shared" ref="K603:O603" si="719">K604+K606+K608</f>
        <v>1874149.69</v>
      </c>
      <c r="L603" s="81">
        <f t="shared" si="719"/>
        <v>1883149.6800000002</v>
      </c>
      <c r="M603" s="81">
        <f t="shared" si="719"/>
        <v>0</v>
      </c>
      <c r="N603" s="81">
        <f t="shared" si="719"/>
        <v>0</v>
      </c>
      <c r="O603" s="81">
        <f t="shared" si="719"/>
        <v>0</v>
      </c>
      <c r="P603" s="81">
        <f>P604+P606+P608</f>
        <v>1875250</v>
      </c>
      <c r="Q603" s="81">
        <f t="shared" ref="Q603:U603" si="720">Q604+Q606+Q608</f>
        <v>1874149.69</v>
      </c>
      <c r="R603" s="81">
        <f t="shared" si="720"/>
        <v>1883149.6800000002</v>
      </c>
      <c r="S603" s="81">
        <f t="shared" si="720"/>
        <v>300000</v>
      </c>
      <c r="T603" s="81">
        <f t="shared" si="720"/>
        <v>0</v>
      </c>
      <c r="U603" s="81">
        <f t="shared" si="720"/>
        <v>0</v>
      </c>
      <c r="V603" s="81">
        <f t="shared" si="690"/>
        <v>2175250</v>
      </c>
      <c r="W603" s="81">
        <f t="shared" si="690"/>
        <v>1874149.69</v>
      </c>
      <c r="X603" s="81">
        <f t="shared" si="690"/>
        <v>1883149.6800000002</v>
      </c>
    </row>
    <row r="604" spans="1:24" ht="38.25">
      <c r="A604" s="188" t="s">
        <v>96</v>
      </c>
      <c r="B604" s="1" t="s">
        <v>402</v>
      </c>
      <c r="C604" s="1" t="s">
        <v>16</v>
      </c>
      <c r="D604" s="1" t="s">
        <v>14</v>
      </c>
      <c r="E604" s="1" t="s">
        <v>18</v>
      </c>
      <c r="F604" s="1" t="s">
        <v>70</v>
      </c>
      <c r="G604" s="1" t="s">
        <v>148</v>
      </c>
      <c r="H604" s="208" t="s">
        <v>348</v>
      </c>
      <c r="I604" s="13" t="s">
        <v>92</v>
      </c>
      <c r="J604" s="81">
        <f>J605</f>
        <v>911100</v>
      </c>
      <c r="K604" s="81">
        <f t="shared" ref="K604:O604" si="721">K605</f>
        <v>919999.69</v>
      </c>
      <c r="L604" s="81">
        <f t="shared" si="721"/>
        <v>928999.68</v>
      </c>
      <c r="M604" s="81">
        <f t="shared" si="721"/>
        <v>0</v>
      </c>
      <c r="N604" s="81">
        <f t="shared" si="721"/>
        <v>0</v>
      </c>
      <c r="O604" s="81">
        <f t="shared" si="721"/>
        <v>0</v>
      </c>
      <c r="P604" s="81">
        <f>P605</f>
        <v>911100</v>
      </c>
      <c r="Q604" s="81">
        <f t="shared" ref="Q604:U604" si="722">Q605</f>
        <v>919999.69</v>
      </c>
      <c r="R604" s="81">
        <f t="shared" si="722"/>
        <v>928999.68</v>
      </c>
      <c r="S604" s="81">
        <f t="shared" si="722"/>
        <v>0</v>
      </c>
      <c r="T604" s="81">
        <f t="shared" si="722"/>
        <v>0</v>
      </c>
      <c r="U604" s="81">
        <f t="shared" si="722"/>
        <v>0</v>
      </c>
      <c r="V604" s="81">
        <f t="shared" ref="V604:X626" si="723">P604+S604</f>
        <v>911100</v>
      </c>
      <c r="W604" s="81">
        <f t="shared" si="723"/>
        <v>919999.69</v>
      </c>
      <c r="X604" s="81">
        <f t="shared" si="723"/>
        <v>928999.68</v>
      </c>
    </row>
    <row r="605" spans="1:24">
      <c r="A605" s="188" t="s">
        <v>97</v>
      </c>
      <c r="B605" s="1" t="s">
        <v>402</v>
      </c>
      <c r="C605" s="1" t="s">
        <v>16</v>
      </c>
      <c r="D605" s="1" t="s">
        <v>14</v>
      </c>
      <c r="E605" s="1" t="s">
        <v>18</v>
      </c>
      <c r="F605" s="1" t="s">
        <v>70</v>
      </c>
      <c r="G605" s="1" t="s">
        <v>148</v>
      </c>
      <c r="H605" s="208" t="s">
        <v>348</v>
      </c>
      <c r="I605" s="13" t="s">
        <v>93</v>
      </c>
      <c r="J605" s="81">
        <v>911100</v>
      </c>
      <c r="K605" s="81">
        <v>919999.69</v>
      </c>
      <c r="L605" s="81">
        <v>928999.68</v>
      </c>
      <c r="M605" s="81"/>
      <c r="N605" s="81"/>
      <c r="O605" s="81"/>
      <c r="P605" s="81">
        <f>P1705</f>
        <v>911100</v>
      </c>
      <c r="Q605" s="81">
        <f t="shared" ref="Q605:U605" si="724">Q1705</f>
        <v>919999.69</v>
      </c>
      <c r="R605" s="81">
        <f t="shared" si="724"/>
        <v>928999.68</v>
      </c>
      <c r="S605" s="81">
        <f t="shared" si="724"/>
        <v>0</v>
      </c>
      <c r="T605" s="81">
        <f t="shared" si="724"/>
        <v>0</v>
      </c>
      <c r="U605" s="81">
        <f t="shared" si="724"/>
        <v>0</v>
      </c>
      <c r="V605" s="81">
        <f t="shared" si="723"/>
        <v>911100</v>
      </c>
      <c r="W605" s="81">
        <f t="shared" si="723"/>
        <v>919999.69</v>
      </c>
      <c r="X605" s="81">
        <f t="shared" si="723"/>
        <v>928999.68</v>
      </c>
    </row>
    <row r="606" spans="1:24" ht="25.5">
      <c r="A606" s="189" t="s">
        <v>260</v>
      </c>
      <c r="B606" s="1" t="s">
        <v>402</v>
      </c>
      <c r="C606" s="1" t="s">
        <v>16</v>
      </c>
      <c r="D606" s="1" t="s">
        <v>14</v>
      </c>
      <c r="E606" s="1" t="s">
        <v>18</v>
      </c>
      <c r="F606" s="1" t="s">
        <v>70</v>
      </c>
      <c r="G606" s="1" t="s">
        <v>148</v>
      </c>
      <c r="H606" s="208" t="s">
        <v>348</v>
      </c>
      <c r="I606" s="13" t="s">
        <v>94</v>
      </c>
      <c r="J606" s="81">
        <f>J607</f>
        <v>954150</v>
      </c>
      <c r="K606" s="81">
        <f t="shared" ref="K606:O606" si="725">K607</f>
        <v>954150</v>
      </c>
      <c r="L606" s="81">
        <f t="shared" si="725"/>
        <v>954150</v>
      </c>
      <c r="M606" s="81">
        <f t="shared" si="725"/>
        <v>0</v>
      </c>
      <c r="N606" s="81">
        <f t="shared" si="725"/>
        <v>0</v>
      </c>
      <c r="O606" s="81">
        <f t="shared" si="725"/>
        <v>0</v>
      </c>
      <c r="P606" s="81">
        <f>P607</f>
        <v>954150</v>
      </c>
      <c r="Q606" s="81">
        <f t="shared" ref="Q606:U606" si="726">Q607</f>
        <v>954150</v>
      </c>
      <c r="R606" s="81">
        <f t="shared" si="726"/>
        <v>954150</v>
      </c>
      <c r="S606" s="81">
        <f t="shared" si="726"/>
        <v>300000</v>
      </c>
      <c r="T606" s="81">
        <f t="shared" si="726"/>
        <v>0</v>
      </c>
      <c r="U606" s="81">
        <f t="shared" si="726"/>
        <v>0</v>
      </c>
      <c r="V606" s="81">
        <f t="shared" si="723"/>
        <v>1254150</v>
      </c>
      <c r="W606" s="81">
        <f t="shared" si="723"/>
        <v>954150</v>
      </c>
      <c r="X606" s="81">
        <f t="shared" si="723"/>
        <v>954150</v>
      </c>
    </row>
    <row r="607" spans="1:24" ht="25.5">
      <c r="A607" s="188" t="s">
        <v>98</v>
      </c>
      <c r="B607" s="1" t="s">
        <v>402</v>
      </c>
      <c r="C607" s="1" t="s">
        <v>16</v>
      </c>
      <c r="D607" s="1" t="s">
        <v>14</v>
      </c>
      <c r="E607" s="1" t="s">
        <v>18</v>
      </c>
      <c r="F607" s="1" t="s">
        <v>70</v>
      </c>
      <c r="G607" s="1" t="s">
        <v>148</v>
      </c>
      <c r="H607" s="208" t="s">
        <v>348</v>
      </c>
      <c r="I607" s="13" t="s">
        <v>95</v>
      </c>
      <c r="J607" s="81">
        <v>954150</v>
      </c>
      <c r="K607" s="81">
        <v>954150</v>
      </c>
      <c r="L607" s="81">
        <v>954150</v>
      </c>
      <c r="M607" s="81"/>
      <c r="N607" s="81"/>
      <c r="O607" s="81"/>
      <c r="P607" s="81">
        <f>P1707</f>
        <v>954150</v>
      </c>
      <c r="Q607" s="81">
        <f t="shared" ref="Q607:U607" si="727">Q1707</f>
        <v>954150</v>
      </c>
      <c r="R607" s="81">
        <f t="shared" si="727"/>
        <v>954150</v>
      </c>
      <c r="S607" s="81">
        <f t="shared" si="727"/>
        <v>300000</v>
      </c>
      <c r="T607" s="81">
        <f t="shared" si="727"/>
        <v>0</v>
      </c>
      <c r="U607" s="81">
        <f t="shared" si="727"/>
        <v>0</v>
      </c>
      <c r="V607" s="81">
        <f t="shared" si="723"/>
        <v>1254150</v>
      </c>
      <c r="W607" s="81">
        <f t="shared" si="723"/>
        <v>954150</v>
      </c>
      <c r="X607" s="81">
        <f t="shared" si="723"/>
        <v>954150</v>
      </c>
    </row>
    <row r="608" spans="1:24">
      <c r="A608" s="188" t="s">
        <v>80</v>
      </c>
      <c r="B608" s="1" t="s">
        <v>402</v>
      </c>
      <c r="C608" s="1" t="s">
        <v>16</v>
      </c>
      <c r="D608" s="1" t="s">
        <v>14</v>
      </c>
      <c r="E608" s="1" t="s">
        <v>18</v>
      </c>
      <c r="F608" s="1" t="s">
        <v>70</v>
      </c>
      <c r="G608" s="1" t="s">
        <v>148</v>
      </c>
      <c r="H608" s="208" t="s">
        <v>348</v>
      </c>
      <c r="I608" s="13" t="s">
        <v>77</v>
      </c>
      <c r="J608" s="81">
        <f>J609</f>
        <v>10000</v>
      </c>
      <c r="K608" s="81">
        <f t="shared" ref="K608:O608" si="728">K609</f>
        <v>0</v>
      </c>
      <c r="L608" s="81">
        <f t="shared" si="728"/>
        <v>0</v>
      </c>
      <c r="M608" s="81">
        <f t="shared" si="728"/>
        <v>0</v>
      </c>
      <c r="N608" s="81">
        <f t="shared" si="728"/>
        <v>0</v>
      </c>
      <c r="O608" s="81">
        <f t="shared" si="728"/>
        <v>0</v>
      </c>
      <c r="P608" s="81">
        <f>P609</f>
        <v>10000</v>
      </c>
      <c r="Q608" s="81">
        <f t="shared" ref="Q608:U608" si="729">Q609</f>
        <v>0</v>
      </c>
      <c r="R608" s="81">
        <f t="shared" si="729"/>
        <v>0</v>
      </c>
      <c r="S608" s="81">
        <f t="shared" si="729"/>
        <v>0</v>
      </c>
      <c r="T608" s="81">
        <f t="shared" si="729"/>
        <v>0</v>
      </c>
      <c r="U608" s="81">
        <f t="shared" si="729"/>
        <v>0</v>
      </c>
      <c r="V608" s="81">
        <f t="shared" si="723"/>
        <v>10000</v>
      </c>
      <c r="W608" s="81">
        <f t="shared" si="723"/>
        <v>0</v>
      </c>
      <c r="X608" s="81">
        <f t="shared" si="723"/>
        <v>0</v>
      </c>
    </row>
    <row r="609" spans="1:24">
      <c r="A609" s="190" t="s">
        <v>125</v>
      </c>
      <c r="B609" s="1" t="s">
        <v>402</v>
      </c>
      <c r="C609" s="1" t="s">
        <v>16</v>
      </c>
      <c r="D609" s="1" t="s">
        <v>14</v>
      </c>
      <c r="E609" s="1" t="s">
        <v>18</v>
      </c>
      <c r="F609" s="1" t="s">
        <v>70</v>
      </c>
      <c r="G609" s="1" t="s">
        <v>148</v>
      </c>
      <c r="H609" s="208" t="s">
        <v>348</v>
      </c>
      <c r="I609" s="13" t="s">
        <v>124</v>
      </c>
      <c r="J609" s="81">
        <v>10000</v>
      </c>
      <c r="K609" s="81"/>
      <c r="L609" s="81"/>
      <c r="M609" s="81"/>
      <c r="N609" s="81"/>
      <c r="O609" s="81"/>
      <c r="P609" s="81">
        <f>P1709</f>
        <v>10000</v>
      </c>
      <c r="Q609" s="81">
        <f t="shared" ref="Q609:U609" si="730">Q1709</f>
        <v>0</v>
      </c>
      <c r="R609" s="81">
        <f t="shared" si="730"/>
        <v>0</v>
      </c>
      <c r="S609" s="81">
        <f t="shared" si="730"/>
        <v>0</v>
      </c>
      <c r="T609" s="81">
        <f t="shared" si="730"/>
        <v>0</v>
      </c>
      <c r="U609" s="81">
        <f t="shared" si="730"/>
        <v>0</v>
      </c>
      <c r="V609" s="81">
        <f t="shared" si="723"/>
        <v>10000</v>
      </c>
      <c r="W609" s="81">
        <f t="shared" si="723"/>
        <v>0</v>
      </c>
      <c r="X609" s="81">
        <f t="shared" si="723"/>
        <v>0</v>
      </c>
    </row>
    <row r="610" spans="1:24" ht="25.5">
      <c r="A610" s="209" t="s">
        <v>312</v>
      </c>
      <c r="B610" s="1" t="s">
        <v>402</v>
      </c>
      <c r="C610" s="1" t="s">
        <v>16</v>
      </c>
      <c r="D610" s="1" t="s">
        <v>14</v>
      </c>
      <c r="E610" s="1" t="s">
        <v>18</v>
      </c>
      <c r="F610" s="1" t="s">
        <v>70</v>
      </c>
      <c r="G610" s="1" t="s">
        <v>148</v>
      </c>
      <c r="H610" s="208" t="s">
        <v>311</v>
      </c>
      <c r="I610" s="13"/>
      <c r="J610" s="81">
        <f>J611</f>
        <v>1696000</v>
      </c>
      <c r="K610" s="81">
        <f t="shared" ref="K610:O611" si="731">K611</f>
        <v>0</v>
      </c>
      <c r="L610" s="81">
        <f t="shared" si="731"/>
        <v>0</v>
      </c>
      <c r="M610" s="81">
        <f t="shared" si="731"/>
        <v>0</v>
      </c>
      <c r="N610" s="81">
        <f t="shared" si="731"/>
        <v>0</v>
      </c>
      <c r="O610" s="81">
        <f t="shared" si="731"/>
        <v>0</v>
      </c>
      <c r="P610" s="81">
        <f>P611</f>
        <v>1696000</v>
      </c>
      <c r="Q610" s="81">
        <f t="shared" ref="Q610:U611" si="732">Q611</f>
        <v>0</v>
      </c>
      <c r="R610" s="81">
        <f t="shared" si="732"/>
        <v>0</v>
      </c>
      <c r="S610" s="81">
        <f t="shared" si="732"/>
        <v>0</v>
      </c>
      <c r="T610" s="81">
        <f t="shared" si="732"/>
        <v>0</v>
      </c>
      <c r="U610" s="81">
        <f t="shared" si="732"/>
        <v>0</v>
      </c>
      <c r="V610" s="81">
        <f t="shared" si="723"/>
        <v>1696000</v>
      </c>
      <c r="W610" s="81">
        <f t="shared" si="723"/>
        <v>0</v>
      </c>
      <c r="X610" s="81">
        <f t="shared" si="723"/>
        <v>0</v>
      </c>
    </row>
    <row r="611" spans="1:24" ht="25.5">
      <c r="A611" s="189" t="s">
        <v>260</v>
      </c>
      <c r="B611" s="1" t="s">
        <v>402</v>
      </c>
      <c r="C611" s="1" t="s">
        <v>16</v>
      </c>
      <c r="D611" s="1" t="s">
        <v>14</v>
      </c>
      <c r="E611" s="1" t="s">
        <v>18</v>
      </c>
      <c r="F611" s="1" t="s">
        <v>70</v>
      </c>
      <c r="G611" s="1" t="s">
        <v>148</v>
      </c>
      <c r="H611" s="208" t="s">
        <v>311</v>
      </c>
      <c r="I611" s="13" t="s">
        <v>94</v>
      </c>
      <c r="J611" s="81">
        <f>J612</f>
        <v>1696000</v>
      </c>
      <c r="K611" s="81">
        <f t="shared" si="731"/>
        <v>0</v>
      </c>
      <c r="L611" s="81">
        <f t="shared" si="731"/>
        <v>0</v>
      </c>
      <c r="M611" s="81">
        <f t="shared" si="731"/>
        <v>0</v>
      </c>
      <c r="N611" s="81">
        <f t="shared" si="731"/>
        <v>0</v>
      </c>
      <c r="O611" s="81">
        <f t="shared" si="731"/>
        <v>0</v>
      </c>
      <c r="P611" s="81">
        <f>P612</f>
        <v>1696000</v>
      </c>
      <c r="Q611" s="81">
        <f t="shared" si="732"/>
        <v>0</v>
      </c>
      <c r="R611" s="81">
        <f t="shared" si="732"/>
        <v>0</v>
      </c>
      <c r="S611" s="81">
        <f t="shared" si="732"/>
        <v>0</v>
      </c>
      <c r="T611" s="81">
        <f t="shared" si="732"/>
        <v>0</v>
      </c>
      <c r="U611" s="81">
        <f t="shared" si="732"/>
        <v>0</v>
      </c>
      <c r="V611" s="81">
        <f t="shared" si="723"/>
        <v>1696000</v>
      </c>
      <c r="W611" s="81">
        <f t="shared" si="723"/>
        <v>0</v>
      </c>
      <c r="X611" s="81">
        <f t="shared" si="723"/>
        <v>0</v>
      </c>
    </row>
    <row r="612" spans="1:24" ht="25.5">
      <c r="A612" s="188" t="s">
        <v>98</v>
      </c>
      <c r="B612" s="1" t="s">
        <v>402</v>
      </c>
      <c r="C612" s="1" t="s">
        <v>16</v>
      </c>
      <c r="D612" s="1" t="s">
        <v>14</v>
      </c>
      <c r="E612" s="1" t="s">
        <v>18</v>
      </c>
      <c r="F612" s="1" t="s">
        <v>70</v>
      </c>
      <c r="G612" s="1" t="s">
        <v>148</v>
      </c>
      <c r="H612" s="208" t="s">
        <v>311</v>
      </c>
      <c r="I612" s="13" t="s">
        <v>95</v>
      </c>
      <c r="J612" s="81">
        <v>1696000</v>
      </c>
      <c r="K612" s="81"/>
      <c r="L612" s="81"/>
      <c r="M612" s="81"/>
      <c r="N612" s="81"/>
      <c r="O612" s="81"/>
      <c r="P612" s="81">
        <f>P1545</f>
        <v>1696000</v>
      </c>
      <c r="Q612" s="81">
        <f t="shared" ref="Q612:U612" si="733">Q1545</f>
        <v>0</v>
      </c>
      <c r="R612" s="81">
        <f t="shared" si="733"/>
        <v>0</v>
      </c>
      <c r="S612" s="81">
        <f t="shared" si="733"/>
        <v>0</v>
      </c>
      <c r="T612" s="81">
        <f t="shared" si="733"/>
        <v>0</v>
      </c>
      <c r="U612" s="81">
        <f t="shared" si="733"/>
        <v>0</v>
      </c>
      <c r="V612" s="81">
        <f t="shared" si="723"/>
        <v>1696000</v>
      </c>
      <c r="W612" s="81">
        <f t="shared" si="723"/>
        <v>0</v>
      </c>
      <c r="X612" s="81">
        <f t="shared" si="723"/>
        <v>0</v>
      </c>
    </row>
    <row r="613" spans="1:24" ht="38.25">
      <c r="A613" s="9" t="s">
        <v>289</v>
      </c>
      <c r="B613" s="1" t="s">
        <v>402</v>
      </c>
      <c r="C613" s="1" t="s">
        <v>16</v>
      </c>
      <c r="D613" s="1" t="s">
        <v>14</v>
      </c>
      <c r="E613" s="1" t="s">
        <v>27</v>
      </c>
      <c r="F613" s="1" t="s">
        <v>70</v>
      </c>
      <c r="G613" s="1" t="s">
        <v>148</v>
      </c>
      <c r="H613" s="1" t="s">
        <v>149</v>
      </c>
      <c r="I613" s="13"/>
      <c r="J613" s="81">
        <f>J614</f>
        <v>1000000</v>
      </c>
      <c r="K613" s="81">
        <f t="shared" ref="K613:O616" si="734">K614</f>
        <v>0</v>
      </c>
      <c r="L613" s="81">
        <f t="shared" si="734"/>
        <v>0</v>
      </c>
      <c r="M613" s="81">
        <f t="shared" si="734"/>
        <v>0</v>
      </c>
      <c r="N613" s="81">
        <f t="shared" si="734"/>
        <v>0</v>
      </c>
      <c r="O613" s="81">
        <f t="shared" si="734"/>
        <v>0</v>
      </c>
      <c r="P613" s="81">
        <f>P614</f>
        <v>1000000</v>
      </c>
      <c r="Q613" s="81">
        <f t="shared" ref="Q613:U616" si="735">Q614</f>
        <v>0</v>
      </c>
      <c r="R613" s="81">
        <f t="shared" si="735"/>
        <v>0</v>
      </c>
      <c r="S613" s="81">
        <f t="shared" si="735"/>
        <v>0</v>
      </c>
      <c r="T613" s="81">
        <f t="shared" si="735"/>
        <v>0</v>
      </c>
      <c r="U613" s="81">
        <f t="shared" si="735"/>
        <v>0</v>
      </c>
      <c r="V613" s="81">
        <f t="shared" si="723"/>
        <v>1000000</v>
      </c>
      <c r="W613" s="81">
        <f t="shared" si="723"/>
        <v>0</v>
      </c>
      <c r="X613" s="81">
        <f t="shared" si="723"/>
        <v>0</v>
      </c>
    </row>
    <row r="614" spans="1:24" ht="19.5" customHeight="1">
      <c r="A614" s="209" t="s">
        <v>216</v>
      </c>
      <c r="B614" s="1" t="s">
        <v>402</v>
      </c>
      <c r="C614" s="1" t="s">
        <v>16</v>
      </c>
      <c r="D614" s="1" t="s">
        <v>14</v>
      </c>
      <c r="E614" s="1" t="s">
        <v>27</v>
      </c>
      <c r="F614" s="1" t="s">
        <v>113</v>
      </c>
      <c r="G614" s="1" t="s">
        <v>148</v>
      </c>
      <c r="H614" s="1" t="s">
        <v>149</v>
      </c>
      <c r="I614" s="13"/>
      <c r="J614" s="81">
        <f>J615</f>
        <v>1000000</v>
      </c>
      <c r="K614" s="81">
        <f t="shared" si="734"/>
        <v>0</v>
      </c>
      <c r="L614" s="81">
        <f t="shared" si="734"/>
        <v>0</v>
      </c>
      <c r="M614" s="81">
        <f t="shared" si="734"/>
        <v>0</v>
      </c>
      <c r="N614" s="81">
        <f t="shared" si="734"/>
        <v>0</v>
      </c>
      <c r="O614" s="81">
        <f t="shared" si="734"/>
        <v>0</v>
      </c>
      <c r="P614" s="81">
        <f>P615</f>
        <v>1000000</v>
      </c>
      <c r="Q614" s="81">
        <f t="shared" si="735"/>
        <v>0</v>
      </c>
      <c r="R614" s="81">
        <f t="shared" si="735"/>
        <v>0</v>
      </c>
      <c r="S614" s="81">
        <f t="shared" si="735"/>
        <v>0</v>
      </c>
      <c r="T614" s="81">
        <f t="shared" si="735"/>
        <v>0</v>
      </c>
      <c r="U614" s="81">
        <f t="shared" si="735"/>
        <v>0</v>
      </c>
      <c r="V614" s="81">
        <f t="shared" si="723"/>
        <v>1000000</v>
      </c>
      <c r="W614" s="81">
        <f t="shared" si="723"/>
        <v>0</v>
      </c>
      <c r="X614" s="81">
        <f t="shared" si="723"/>
        <v>0</v>
      </c>
    </row>
    <row r="615" spans="1:24" ht="25.5">
      <c r="A615" s="209" t="s">
        <v>270</v>
      </c>
      <c r="B615" s="1" t="s">
        <v>402</v>
      </c>
      <c r="C615" s="1" t="s">
        <v>16</v>
      </c>
      <c r="D615" s="1" t="s">
        <v>14</v>
      </c>
      <c r="E615" s="1" t="s">
        <v>27</v>
      </c>
      <c r="F615" s="1" t="s">
        <v>113</v>
      </c>
      <c r="G615" s="1" t="s">
        <v>148</v>
      </c>
      <c r="H615" s="1" t="s">
        <v>269</v>
      </c>
      <c r="I615" s="13"/>
      <c r="J615" s="81">
        <f>J616</f>
        <v>1000000</v>
      </c>
      <c r="K615" s="81">
        <f t="shared" si="734"/>
        <v>0</v>
      </c>
      <c r="L615" s="81">
        <f t="shared" si="734"/>
        <v>0</v>
      </c>
      <c r="M615" s="81">
        <f t="shared" si="734"/>
        <v>0</v>
      </c>
      <c r="N615" s="81">
        <f t="shared" si="734"/>
        <v>0</v>
      </c>
      <c r="O615" s="81">
        <f t="shared" si="734"/>
        <v>0</v>
      </c>
      <c r="P615" s="81">
        <f>P616</f>
        <v>1000000</v>
      </c>
      <c r="Q615" s="81">
        <f t="shared" si="735"/>
        <v>0</v>
      </c>
      <c r="R615" s="81">
        <f t="shared" si="735"/>
        <v>0</v>
      </c>
      <c r="S615" s="81">
        <f t="shared" si="735"/>
        <v>0</v>
      </c>
      <c r="T615" s="81">
        <f t="shared" si="735"/>
        <v>0</v>
      </c>
      <c r="U615" s="81">
        <f t="shared" si="735"/>
        <v>0</v>
      </c>
      <c r="V615" s="81">
        <f t="shared" si="723"/>
        <v>1000000</v>
      </c>
      <c r="W615" s="81">
        <f t="shared" si="723"/>
        <v>0</v>
      </c>
      <c r="X615" s="81">
        <f t="shared" si="723"/>
        <v>0</v>
      </c>
    </row>
    <row r="616" spans="1:24" ht="25.5">
      <c r="A616" s="209" t="s">
        <v>120</v>
      </c>
      <c r="B616" s="1" t="s">
        <v>402</v>
      </c>
      <c r="C616" s="1" t="s">
        <v>16</v>
      </c>
      <c r="D616" s="1" t="s">
        <v>14</v>
      </c>
      <c r="E616" s="1" t="s">
        <v>27</v>
      </c>
      <c r="F616" s="1" t="s">
        <v>113</v>
      </c>
      <c r="G616" s="1" t="s">
        <v>148</v>
      </c>
      <c r="H616" s="1" t="s">
        <v>269</v>
      </c>
      <c r="I616" s="13" t="s">
        <v>118</v>
      </c>
      <c r="J616" s="81">
        <f>J617</f>
        <v>1000000</v>
      </c>
      <c r="K616" s="81">
        <f t="shared" si="734"/>
        <v>0</v>
      </c>
      <c r="L616" s="81">
        <f t="shared" si="734"/>
        <v>0</v>
      </c>
      <c r="M616" s="81">
        <f t="shared" si="734"/>
        <v>0</v>
      </c>
      <c r="N616" s="81">
        <f t="shared" si="734"/>
        <v>0</v>
      </c>
      <c r="O616" s="81">
        <f t="shared" si="734"/>
        <v>0</v>
      </c>
      <c r="P616" s="81">
        <f>P617</f>
        <v>1000000</v>
      </c>
      <c r="Q616" s="81">
        <f t="shared" si="735"/>
        <v>0</v>
      </c>
      <c r="R616" s="81">
        <f t="shared" si="735"/>
        <v>0</v>
      </c>
      <c r="S616" s="81">
        <f t="shared" si="735"/>
        <v>0</v>
      </c>
      <c r="T616" s="81">
        <f t="shared" si="735"/>
        <v>0</v>
      </c>
      <c r="U616" s="81">
        <f t="shared" si="735"/>
        <v>0</v>
      </c>
      <c r="V616" s="81">
        <f t="shared" si="723"/>
        <v>1000000</v>
      </c>
      <c r="W616" s="81">
        <f t="shared" si="723"/>
        <v>0</v>
      </c>
      <c r="X616" s="81">
        <f t="shared" si="723"/>
        <v>0</v>
      </c>
    </row>
    <row r="617" spans="1:24">
      <c r="A617" s="209" t="s">
        <v>121</v>
      </c>
      <c r="B617" s="1" t="s">
        <v>402</v>
      </c>
      <c r="C617" s="1" t="s">
        <v>16</v>
      </c>
      <c r="D617" s="1" t="s">
        <v>14</v>
      </c>
      <c r="E617" s="1" t="s">
        <v>27</v>
      </c>
      <c r="F617" s="1" t="s">
        <v>113</v>
      </c>
      <c r="G617" s="1" t="s">
        <v>148</v>
      </c>
      <c r="H617" s="1" t="s">
        <v>269</v>
      </c>
      <c r="I617" s="13" t="s">
        <v>119</v>
      </c>
      <c r="J617" s="81">
        <v>1000000</v>
      </c>
      <c r="K617" s="81"/>
      <c r="L617" s="81"/>
      <c r="M617" s="81"/>
      <c r="N617" s="81"/>
      <c r="O617" s="81"/>
      <c r="P617" s="81">
        <f>P971</f>
        <v>1000000</v>
      </c>
      <c r="Q617" s="81">
        <f t="shared" ref="Q617:U617" si="736">Q971</f>
        <v>0</v>
      </c>
      <c r="R617" s="81">
        <f t="shared" si="736"/>
        <v>0</v>
      </c>
      <c r="S617" s="81">
        <f t="shared" si="736"/>
        <v>0</v>
      </c>
      <c r="T617" s="81">
        <f t="shared" si="736"/>
        <v>0</v>
      </c>
      <c r="U617" s="81">
        <f t="shared" si="736"/>
        <v>0</v>
      </c>
      <c r="V617" s="81">
        <f t="shared" si="723"/>
        <v>1000000</v>
      </c>
      <c r="W617" s="81">
        <f t="shared" si="723"/>
        <v>0</v>
      </c>
      <c r="X617" s="81">
        <f t="shared" si="723"/>
        <v>0</v>
      </c>
    </row>
    <row r="618" spans="1:24">
      <c r="A618" s="9" t="s">
        <v>84</v>
      </c>
      <c r="B618" s="1" t="s">
        <v>402</v>
      </c>
      <c r="C618" s="1" t="s">
        <v>16</v>
      </c>
      <c r="D618" s="1" t="s">
        <v>14</v>
      </c>
      <c r="E618" s="1" t="s">
        <v>82</v>
      </c>
      <c r="F618" s="1" t="s">
        <v>70</v>
      </c>
      <c r="G618" s="1" t="s">
        <v>148</v>
      </c>
      <c r="H618" s="1" t="s">
        <v>149</v>
      </c>
      <c r="I618" s="13"/>
      <c r="J618" s="81">
        <f>+J619</f>
        <v>23108089</v>
      </c>
      <c r="K618" s="81">
        <f t="shared" ref="K618:O618" si="737">+K619</f>
        <v>24317200</v>
      </c>
      <c r="L618" s="81">
        <f t="shared" si="737"/>
        <v>25148300</v>
      </c>
      <c r="M618" s="81">
        <f t="shared" si="737"/>
        <v>9407967.2100000009</v>
      </c>
      <c r="N618" s="81">
        <f t="shared" si="737"/>
        <v>0</v>
      </c>
      <c r="O618" s="81">
        <f t="shared" si="737"/>
        <v>0</v>
      </c>
      <c r="P618" s="81">
        <f>P619+P624+P627</f>
        <v>32516056.210000001</v>
      </c>
      <c r="Q618" s="81">
        <f t="shared" ref="Q618:R618" si="738">Q619+Q624+Q627</f>
        <v>24317200</v>
      </c>
      <c r="R618" s="81">
        <f t="shared" si="738"/>
        <v>25148300</v>
      </c>
      <c r="S618" s="81">
        <f>+S619+S624+S627</f>
        <v>78908530.890000001</v>
      </c>
      <c r="T618" s="81">
        <f t="shared" ref="T618:U618" si="739">+T619+T624+T627</f>
        <v>0</v>
      </c>
      <c r="U618" s="81">
        <f t="shared" si="739"/>
        <v>0</v>
      </c>
      <c r="V618" s="81">
        <f t="shared" si="723"/>
        <v>111424587.09999999</v>
      </c>
      <c r="W618" s="81">
        <f t="shared" si="723"/>
        <v>24317200</v>
      </c>
      <c r="X618" s="81">
        <f t="shared" si="723"/>
        <v>25148300</v>
      </c>
    </row>
    <row r="619" spans="1:24" ht="38.25">
      <c r="A619" s="9" t="s">
        <v>350</v>
      </c>
      <c r="B619" s="1" t="s">
        <v>402</v>
      </c>
      <c r="C619" s="1" t="s">
        <v>16</v>
      </c>
      <c r="D619" s="1" t="s">
        <v>14</v>
      </c>
      <c r="E619" s="1" t="s">
        <v>82</v>
      </c>
      <c r="F619" s="1" t="s">
        <v>70</v>
      </c>
      <c r="G619" s="1" t="s">
        <v>148</v>
      </c>
      <c r="H619" s="1" t="s">
        <v>179</v>
      </c>
      <c r="I619" s="13"/>
      <c r="J619" s="81">
        <f>+J620+J622</f>
        <v>23108089</v>
      </c>
      <c r="K619" s="81">
        <f t="shared" ref="K619:O619" si="740">+K620+K622</f>
        <v>24317200</v>
      </c>
      <c r="L619" s="81">
        <f t="shared" si="740"/>
        <v>25148300</v>
      </c>
      <c r="M619" s="81">
        <f t="shared" si="740"/>
        <v>9407967.2100000009</v>
      </c>
      <c r="N619" s="81">
        <f t="shared" si="740"/>
        <v>0</v>
      </c>
      <c r="O619" s="81">
        <f t="shared" si="740"/>
        <v>0</v>
      </c>
      <c r="P619" s="81">
        <f>P620+P622</f>
        <v>32516056.210000001</v>
      </c>
      <c r="Q619" s="81">
        <f t="shared" ref="Q619:R619" si="741">Q620+Q622</f>
        <v>24317200</v>
      </c>
      <c r="R619" s="81">
        <f t="shared" si="741"/>
        <v>25148300</v>
      </c>
      <c r="S619" s="81">
        <f t="shared" ref="S619:U619" si="742">+S620+S622</f>
        <v>0.88999999989755452</v>
      </c>
      <c r="T619" s="81">
        <f t="shared" si="742"/>
        <v>0</v>
      </c>
      <c r="U619" s="81">
        <f t="shared" si="742"/>
        <v>0</v>
      </c>
      <c r="V619" s="81">
        <f t="shared" si="723"/>
        <v>32516057.100000001</v>
      </c>
      <c r="W619" s="81">
        <f t="shared" si="723"/>
        <v>24317200</v>
      </c>
      <c r="X619" s="81">
        <f t="shared" si="723"/>
        <v>25148300</v>
      </c>
    </row>
    <row r="620" spans="1:24" ht="25.5">
      <c r="A620" s="189" t="s">
        <v>260</v>
      </c>
      <c r="B620" s="1" t="s">
        <v>402</v>
      </c>
      <c r="C620" s="1" t="s">
        <v>16</v>
      </c>
      <c r="D620" s="1" t="s">
        <v>14</v>
      </c>
      <c r="E620" s="1" t="s">
        <v>82</v>
      </c>
      <c r="F620" s="1" t="s">
        <v>70</v>
      </c>
      <c r="G620" s="1" t="s">
        <v>148</v>
      </c>
      <c r="H620" s="1" t="s">
        <v>179</v>
      </c>
      <c r="I620" s="13" t="s">
        <v>94</v>
      </c>
      <c r="J620" s="81">
        <f>J621</f>
        <v>23108089</v>
      </c>
      <c r="K620" s="81">
        <f t="shared" ref="K620:O620" si="743">K621</f>
        <v>24317200</v>
      </c>
      <c r="L620" s="81">
        <f t="shared" si="743"/>
        <v>25148300</v>
      </c>
      <c r="M620" s="81">
        <f t="shared" si="743"/>
        <v>7970967.21</v>
      </c>
      <c r="N620" s="81">
        <f t="shared" si="743"/>
        <v>0</v>
      </c>
      <c r="O620" s="81">
        <f t="shared" si="743"/>
        <v>0</v>
      </c>
      <c r="P620" s="81">
        <f>P621</f>
        <v>31079056.210000001</v>
      </c>
      <c r="Q620" s="81">
        <f t="shared" ref="Q620:U620" si="744">Q621</f>
        <v>24317200</v>
      </c>
      <c r="R620" s="81">
        <f t="shared" si="744"/>
        <v>25148300</v>
      </c>
      <c r="S620" s="81">
        <f t="shared" si="744"/>
        <v>1437000.89</v>
      </c>
      <c r="T620" s="81">
        <f t="shared" si="744"/>
        <v>0</v>
      </c>
      <c r="U620" s="81">
        <f t="shared" si="744"/>
        <v>0</v>
      </c>
      <c r="V620" s="81">
        <f t="shared" si="723"/>
        <v>32516057.100000001</v>
      </c>
      <c r="W620" s="81">
        <f t="shared" si="723"/>
        <v>24317200</v>
      </c>
      <c r="X620" s="81">
        <f t="shared" si="723"/>
        <v>25148300</v>
      </c>
    </row>
    <row r="621" spans="1:24" ht="25.5">
      <c r="A621" s="188" t="s">
        <v>98</v>
      </c>
      <c r="B621" s="1" t="s">
        <v>402</v>
      </c>
      <c r="C621" s="1" t="s">
        <v>16</v>
      </c>
      <c r="D621" s="1" t="s">
        <v>14</v>
      </c>
      <c r="E621" s="1" t="s">
        <v>82</v>
      </c>
      <c r="F621" s="1" t="s">
        <v>70</v>
      </c>
      <c r="G621" s="1" t="s">
        <v>148</v>
      </c>
      <c r="H621" s="1" t="s">
        <v>179</v>
      </c>
      <c r="I621" s="13" t="s">
        <v>95</v>
      </c>
      <c r="J621" s="81">
        <v>23108089</v>
      </c>
      <c r="K621" s="81">
        <v>24317200</v>
      </c>
      <c r="L621" s="81">
        <v>25148300</v>
      </c>
      <c r="M621" s="81">
        <v>7970967.21</v>
      </c>
      <c r="N621" s="81"/>
      <c r="O621" s="81"/>
      <c r="P621" s="81">
        <f>P975+P1184+P1257+P1312+P1372+P1439+P1488+P1549+P1596+P1646+P1713</f>
        <v>31079056.210000001</v>
      </c>
      <c r="Q621" s="81">
        <f t="shared" ref="Q621:U621" si="745">Q975+Q1184+Q1257+Q1312+Q1372+Q1439+Q1488+Q1549+Q1596+Q1646+Q1713</f>
        <v>24317200</v>
      </c>
      <c r="R621" s="81">
        <f t="shared" si="745"/>
        <v>25148300</v>
      </c>
      <c r="S621" s="81">
        <f t="shared" si="745"/>
        <v>1437000.89</v>
      </c>
      <c r="T621" s="81">
        <f t="shared" si="745"/>
        <v>0</v>
      </c>
      <c r="U621" s="81">
        <f t="shared" si="745"/>
        <v>0</v>
      </c>
      <c r="V621" s="81">
        <f t="shared" si="723"/>
        <v>32516057.100000001</v>
      </c>
      <c r="W621" s="81">
        <f t="shared" si="723"/>
        <v>24317200</v>
      </c>
      <c r="X621" s="81">
        <f t="shared" si="723"/>
        <v>25148300</v>
      </c>
    </row>
    <row r="622" spans="1:24" ht="25.5">
      <c r="A622" s="209" t="s">
        <v>120</v>
      </c>
      <c r="B622" s="1" t="s">
        <v>402</v>
      </c>
      <c r="C622" s="1" t="s">
        <v>16</v>
      </c>
      <c r="D622" s="1" t="s">
        <v>14</v>
      </c>
      <c r="E622" s="1" t="s">
        <v>82</v>
      </c>
      <c r="F622" s="1" t="s">
        <v>70</v>
      </c>
      <c r="G622" s="1" t="s">
        <v>148</v>
      </c>
      <c r="H622" s="1" t="s">
        <v>179</v>
      </c>
      <c r="I622" s="13" t="s">
        <v>118</v>
      </c>
      <c r="J622" s="81">
        <f>J623</f>
        <v>0</v>
      </c>
      <c r="K622" s="81">
        <f t="shared" ref="K622:O622" si="746">K623</f>
        <v>0</v>
      </c>
      <c r="L622" s="81">
        <f t="shared" si="746"/>
        <v>0</v>
      </c>
      <c r="M622" s="81">
        <f t="shared" si="746"/>
        <v>1437000</v>
      </c>
      <c r="N622" s="81">
        <f t="shared" si="746"/>
        <v>0</v>
      </c>
      <c r="O622" s="81">
        <f t="shared" si="746"/>
        <v>0</v>
      </c>
      <c r="P622" s="81">
        <f>P623</f>
        <v>1437000</v>
      </c>
      <c r="Q622" s="81">
        <f t="shared" ref="Q622:U622" si="747">Q623</f>
        <v>0</v>
      </c>
      <c r="R622" s="81">
        <f t="shared" si="747"/>
        <v>0</v>
      </c>
      <c r="S622" s="81">
        <f t="shared" si="747"/>
        <v>-1437000</v>
      </c>
      <c r="T622" s="81">
        <f t="shared" si="747"/>
        <v>0</v>
      </c>
      <c r="U622" s="81">
        <f t="shared" si="747"/>
        <v>0</v>
      </c>
      <c r="V622" s="81">
        <f t="shared" si="723"/>
        <v>0</v>
      </c>
      <c r="W622" s="81">
        <f t="shared" si="723"/>
        <v>0</v>
      </c>
      <c r="X622" s="81">
        <f t="shared" si="723"/>
        <v>0</v>
      </c>
    </row>
    <row r="623" spans="1:24">
      <c r="A623" s="209" t="s">
        <v>121</v>
      </c>
      <c r="B623" s="1" t="s">
        <v>402</v>
      </c>
      <c r="C623" s="1" t="s">
        <v>16</v>
      </c>
      <c r="D623" s="1" t="s">
        <v>14</v>
      </c>
      <c r="E623" s="1" t="s">
        <v>82</v>
      </c>
      <c r="F623" s="1" t="s">
        <v>70</v>
      </c>
      <c r="G623" s="1" t="s">
        <v>148</v>
      </c>
      <c r="H623" s="1" t="s">
        <v>179</v>
      </c>
      <c r="I623" s="13" t="s">
        <v>119</v>
      </c>
      <c r="J623" s="81"/>
      <c r="K623" s="81"/>
      <c r="L623" s="81"/>
      <c r="M623" s="81">
        <v>1437000</v>
      </c>
      <c r="N623" s="81"/>
      <c r="O623" s="81"/>
      <c r="P623" s="81">
        <f>P1186</f>
        <v>1437000</v>
      </c>
      <c r="Q623" s="81">
        <f t="shared" ref="Q623:U623" si="748">Q1186</f>
        <v>0</v>
      </c>
      <c r="R623" s="81">
        <f t="shared" si="748"/>
        <v>0</v>
      </c>
      <c r="S623" s="81">
        <f t="shared" si="748"/>
        <v>-1437000</v>
      </c>
      <c r="T623" s="81">
        <f t="shared" si="748"/>
        <v>0</v>
      </c>
      <c r="U623" s="81">
        <f t="shared" si="748"/>
        <v>0</v>
      </c>
      <c r="V623" s="81">
        <f t="shared" si="723"/>
        <v>0</v>
      </c>
      <c r="W623" s="81">
        <f t="shared" si="723"/>
        <v>0</v>
      </c>
      <c r="X623" s="81">
        <f t="shared" si="723"/>
        <v>0</v>
      </c>
    </row>
    <row r="624" spans="1:24" ht="38.25">
      <c r="A624" s="209" t="s">
        <v>453</v>
      </c>
      <c r="B624" s="1" t="s">
        <v>402</v>
      </c>
      <c r="C624" s="1" t="s">
        <v>16</v>
      </c>
      <c r="D624" s="1" t="s">
        <v>14</v>
      </c>
      <c r="E624" s="1" t="s">
        <v>82</v>
      </c>
      <c r="F624" s="1" t="s">
        <v>70</v>
      </c>
      <c r="G624" s="1" t="s">
        <v>148</v>
      </c>
      <c r="H624" s="1" t="s">
        <v>451</v>
      </c>
      <c r="I624" s="13"/>
      <c r="J624" s="81"/>
      <c r="K624" s="81"/>
      <c r="L624" s="81"/>
      <c r="M624" s="81"/>
      <c r="N624" s="81"/>
      <c r="O624" s="81"/>
      <c r="P624" s="81">
        <f>P625</f>
        <v>0</v>
      </c>
      <c r="Q624" s="81">
        <f t="shared" ref="Q624:R625" si="749">Q625</f>
        <v>0</v>
      </c>
      <c r="R624" s="81">
        <f t="shared" si="749"/>
        <v>0</v>
      </c>
      <c r="S624" s="81">
        <f>S625</f>
        <v>71780530</v>
      </c>
      <c r="T624" s="81">
        <f t="shared" ref="T624:U625" si="750">T625</f>
        <v>0</v>
      </c>
      <c r="U624" s="81">
        <f t="shared" si="750"/>
        <v>0</v>
      </c>
      <c r="V624" s="81">
        <f t="shared" si="723"/>
        <v>71780530</v>
      </c>
      <c r="W624" s="81">
        <f t="shared" si="723"/>
        <v>0</v>
      </c>
      <c r="X624" s="81">
        <f t="shared" si="723"/>
        <v>0</v>
      </c>
    </row>
    <row r="625" spans="1:24" ht="25.5">
      <c r="A625" s="189" t="s">
        <v>260</v>
      </c>
      <c r="B625" s="1" t="s">
        <v>402</v>
      </c>
      <c r="C625" s="1" t="s">
        <v>16</v>
      </c>
      <c r="D625" s="1" t="s">
        <v>14</v>
      </c>
      <c r="E625" s="1" t="s">
        <v>82</v>
      </c>
      <c r="F625" s="1" t="s">
        <v>70</v>
      </c>
      <c r="G625" s="1" t="s">
        <v>148</v>
      </c>
      <c r="H625" s="1" t="s">
        <v>451</v>
      </c>
      <c r="I625" s="13" t="s">
        <v>94</v>
      </c>
      <c r="J625" s="81"/>
      <c r="K625" s="81"/>
      <c r="L625" s="81"/>
      <c r="M625" s="81"/>
      <c r="N625" s="81"/>
      <c r="O625" s="81"/>
      <c r="P625" s="81">
        <f>P626</f>
        <v>0</v>
      </c>
      <c r="Q625" s="81">
        <f t="shared" si="749"/>
        <v>0</v>
      </c>
      <c r="R625" s="81">
        <f t="shared" si="749"/>
        <v>0</v>
      </c>
      <c r="S625" s="81">
        <f>S626</f>
        <v>71780530</v>
      </c>
      <c r="T625" s="81">
        <f t="shared" si="750"/>
        <v>0</v>
      </c>
      <c r="U625" s="81">
        <f t="shared" si="750"/>
        <v>0</v>
      </c>
      <c r="V625" s="81">
        <f t="shared" si="723"/>
        <v>71780530</v>
      </c>
      <c r="W625" s="81">
        <f t="shared" si="723"/>
        <v>0</v>
      </c>
      <c r="X625" s="81">
        <f t="shared" si="723"/>
        <v>0</v>
      </c>
    </row>
    <row r="626" spans="1:24" ht="25.5">
      <c r="A626" s="188" t="s">
        <v>98</v>
      </c>
      <c r="B626" s="1" t="s">
        <v>402</v>
      </c>
      <c r="C626" s="1" t="s">
        <v>16</v>
      </c>
      <c r="D626" s="1" t="s">
        <v>14</v>
      </c>
      <c r="E626" s="1" t="s">
        <v>82</v>
      </c>
      <c r="F626" s="1" t="s">
        <v>70</v>
      </c>
      <c r="G626" s="1" t="s">
        <v>148</v>
      </c>
      <c r="H626" s="1" t="s">
        <v>451</v>
      </c>
      <c r="I626" s="13" t="s">
        <v>95</v>
      </c>
      <c r="J626" s="81"/>
      <c r="K626" s="81"/>
      <c r="L626" s="81"/>
      <c r="M626" s="81"/>
      <c r="N626" s="81"/>
      <c r="O626" s="81"/>
      <c r="P626" s="81">
        <f>P978</f>
        <v>0</v>
      </c>
      <c r="Q626" s="81">
        <f t="shared" ref="Q626:U626" si="751">Q978</f>
        <v>0</v>
      </c>
      <c r="R626" s="81">
        <f t="shared" si="751"/>
        <v>0</v>
      </c>
      <c r="S626" s="81">
        <f t="shared" si="751"/>
        <v>71780530</v>
      </c>
      <c r="T626" s="81">
        <f t="shared" si="751"/>
        <v>0</v>
      </c>
      <c r="U626" s="81">
        <f t="shared" si="751"/>
        <v>0</v>
      </c>
      <c r="V626" s="81">
        <f t="shared" si="723"/>
        <v>71780530</v>
      </c>
      <c r="W626" s="81">
        <f t="shared" si="723"/>
        <v>0</v>
      </c>
      <c r="X626" s="81">
        <f t="shared" si="723"/>
        <v>0</v>
      </c>
    </row>
    <row r="627" spans="1:24" ht="25.5">
      <c r="A627" s="209" t="s">
        <v>454</v>
      </c>
      <c r="B627" s="1" t="s">
        <v>402</v>
      </c>
      <c r="C627" s="1" t="s">
        <v>16</v>
      </c>
      <c r="D627" s="1" t="s">
        <v>14</v>
      </c>
      <c r="E627" s="1" t="s">
        <v>82</v>
      </c>
      <c r="F627" s="1" t="s">
        <v>70</v>
      </c>
      <c r="G627" s="1" t="s">
        <v>148</v>
      </c>
      <c r="H627" s="1" t="s">
        <v>452</v>
      </c>
      <c r="I627" s="13"/>
      <c r="J627" s="81"/>
      <c r="K627" s="81"/>
      <c r="L627" s="81"/>
      <c r="M627" s="81"/>
      <c r="N627" s="81"/>
      <c r="O627" s="81"/>
      <c r="P627" s="81">
        <f>P628</f>
        <v>0</v>
      </c>
      <c r="Q627" s="81">
        <f t="shared" ref="Q627:R628" si="752">Q628</f>
        <v>0</v>
      </c>
      <c r="R627" s="81">
        <f t="shared" si="752"/>
        <v>0</v>
      </c>
      <c r="S627" s="81">
        <f>S628</f>
        <v>7128000</v>
      </c>
      <c r="T627" s="81">
        <f t="shared" ref="T627:U628" si="753">T628</f>
        <v>0</v>
      </c>
      <c r="U627" s="81">
        <f t="shared" si="753"/>
        <v>0</v>
      </c>
      <c r="V627" s="81">
        <f t="shared" ref="V627:X643" si="754">P627+S627</f>
        <v>7128000</v>
      </c>
      <c r="W627" s="81">
        <f t="shared" si="754"/>
        <v>0</v>
      </c>
      <c r="X627" s="81">
        <f t="shared" si="754"/>
        <v>0</v>
      </c>
    </row>
    <row r="628" spans="1:24" ht="25.5">
      <c r="A628" s="189" t="s">
        <v>260</v>
      </c>
      <c r="B628" s="1" t="s">
        <v>402</v>
      </c>
      <c r="C628" s="1" t="s">
        <v>16</v>
      </c>
      <c r="D628" s="1" t="s">
        <v>14</v>
      </c>
      <c r="E628" s="1" t="s">
        <v>82</v>
      </c>
      <c r="F628" s="1" t="s">
        <v>70</v>
      </c>
      <c r="G628" s="1" t="s">
        <v>148</v>
      </c>
      <c r="H628" s="1" t="s">
        <v>452</v>
      </c>
      <c r="I628" s="13" t="s">
        <v>94</v>
      </c>
      <c r="J628" s="81"/>
      <c r="K628" s="81"/>
      <c r="L628" s="81"/>
      <c r="M628" s="81"/>
      <c r="N628" s="81"/>
      <c r="O628" s="81"/>
      <c r="P628" s="81">
        <f>P629</f>
        <v>0</v>
      </c>
      <c r="Q628" s="81">
        <f t="shared" si="752"/>
        <v>0</v>
      </c>
      <c r="R628" s="81">
        <f t="shared" si="752"/>
        <v>0</v>
      </c>
      <c r="S628" s="81">
        <f>S629</f>
        <v>7128000</v>
      </c>
      <c r="T628" s="81">
        <f t="shared" si="753"/>
        <v>0</v>
      </c>
      <c r="U628" s="81">
        <f t="shared" si="753"/>
        <v>0</v>
      </c>
      <c r="V628" s="81">
        <f t="shared" si="754"/>
        <v>7128000</v>
      </c>
      <c r="W628" s="81">
        <f t="shared" si="754"/>
        <v>0</v>
      </c>
      <c r="X628" s="81">
        <f t="shared" si="754"/>
        <v>0</v>
      </c>
    </row>
    <row r="629" spans="1:24" ht="25.5">
      <c r="A629" s="188" t="s">
        <v>98</v>
      </c>
      <c r="B629" s="1" t="s">
        <v>402</v>
      </c>
      <c r="C629" s="1" t="s">
        <v>16</v>
      </c>
      <c r="D629" s="1" t="s">
        <v>14</v>
      </c>
      <c r="E629" s="1" t="s">
        <v>82</v>
      </c>
      <c r="F629" s="1" t="s">
        <v>70</v>
      </c>
      <c r="G629" s="1" t="s">
        <v>148</v>
      </c>
      <c r="H629" s="1" t="s">
        <v>452</v>
      </c>
      <c r="I629" s="13" t="s">
        <v>95</v>
      </c>
      <c r="J629" s="81"/>
      <c r="K629" s="81"/>
      <c r="L629" s="81"/>
      <c r="M629" s="81"/>
      <c r="N629" s="81"/>
      <c r="O629" s="81"/>
      <c r="P629" s="81">
        <f>P981</f>
        <v>0</v>
      </c>
      <c r="Q629" s="81">
        <f t="shared" ref="Q629:U629" si="755">Q981</f>
        <v>0</v>
      </c>
      <c r="R629" s="81">
        <f t="shared" si="755"/>
        <v>0</v>
      </c>
      <c r="S629" s="81">
        <f t="shared" si="755"/>
        <v>7128000</v>
      </c>
      <c r="T629" s="81">
        <f t="shared" si="755"/>
        <v>0</v>
      </c>
      <c r="U629" s="81">
        <f t="shared" si="755"/>
        <v>0</v>
      </c>
      <c r="V629" s="81">
        <f t="shared" si="754"/>
        <v>7128000</v>
      </c>
      <c r="W629" s="81">
        <f t="shared" si="754"/>
        <v>0</v>
      </c>
      <c r="X629" s="81">
        <f t="shared" si="754"/>
        <v>0</v>
      </c>
    </row>
    <row r="630" spans="1:24">
      <c r="A630" s="188"/>
      <c r="B630" s="1"/>
      <c r="C630" s="1"/>
      <c r="D630" s="1"/>
      <c r="E630" s="1"/>
      <c r="F630" s="1"/>
      <c r="G630" s="1"/>
      <c r="H630" s="1"/>
      <c r="I630" s="13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</row>
    <row r="631" spans="1:24">
      <c r="A631" s="23" t="s">
        <v>37</v>
      </c>
      <c r="B631" s="15" t="s">
        <v>402</v>
      </c>
      <c r="C631" s="15" t="s">
        <v>16</v>
      </c>
      <c r="D631" s="15" t="s">
        <v>31</v>
      </c>
      <c r="E631" s="15"/>
      <c r="F631" s="15"/>
      <c r="G631" s="15"/>
      <c r="H631" s="1"/>
      <c r="I631" s="13"/>
      <c r="J631" s="101">
        <f>J632+J642</f>
        <v>1764750</v>
      </c>
      <c r="K631" s="101">
        <f t="shared" ref="K631:O631" si="756">K632+K642</f>
        <v>224682</v>
      </c>
      <c r="L631" s="101">
        <f t="shared" si="756"/>
        <v>224682</v>
      </c>
      <c r="M631" s="101">
        <f t="shared" si="756"/>
        <v>0</v>
      </c>
      <c r="N631" s="101">
        <f t="shared" si="756"/>
        <v>0</v>
      </c>
      <c r="O631" s="101">
        <f t="shared" si="756"/>
        <v>0</v>
      </c>
      <c r="P631" s="101">
        <f>P632+P642</f>
        <v>1764750</v>
      </c>
      <c r="Q631" s="101">
        <f t="shared" ref="Q631:U631" si="757">Q632+Q642</f>
        <v>224682</v>
      </c>
      <c r="R631" s="101">
        <f t="shared" si="757"/>
        <v>224682</v>
      </c>
      <c r="S631" s="101">
        <f t="shared" si="757"/>
        <v>0</v>
      </c>
      <c r="T631" s="101">
        <f t="shared" si="757"/>
        <v>0</v>
      </c>
      <c r="U631" s="101">
        <f t="shared" si="757"/>
        <v>0</v>
      </c>
      <c r="V631" s="101">
        <f t="shared" si="754"/>
        <v>1764750</v>
      </c>
      <c r="W631" s="101">
        <f t="shared" si="754"/>
        <v>224682</v>
      </c>
      <c r="X631" s="101">
        <f t="shared" si="754"/>
        <v>224682</v>
      </c>
    </row>
    <row r="632" spans="1:24" ht="38.25">
      <c r="A632" s="9" t="s">
        <v>288</v>
      </c>
      <c r="B632" s="1" t="s">
        <v>402</v>
      </c>
      <c r="C632" s="1" t="s">
        <v>16</v>
      </c>
      <c r="D632" s="1" t="s">
        <v>31</v>
      </c>
      <c r="E632" s="1" t="s">
        <v>13</v>
      </c>
      <c r="F632" s="1" t="s">
        <v>70</v>
      </c>
      <c r="G632" s="1" t="s">
        <v>148</v>
      </c>
      <c r="H632" s="1" t="s">
        <v>149</v>
      </c>
      <c r="I632" s="13"/>
      <c r="J632" s="81">
        <f>J633+J636+J639</f>
        <v>264750</v>
      </c>
      <c r="K632" s="81">
        <f t="shared" ref="K632:O632" si="758">K633+K636+K639</f>
        <v>224682</v>
      </c>
      <c r="L632" s="81">
        <f t="shared" si="758"/>
        <v>224682</v>
      </c>
      <c r="M632" s="81">
        <f t="shared" si="758"/>
        <v>0</v>
      </c>
      <c r="N632" s="81">
        <f t="shared" si="758"/>
        <v>0</v>
      </c>
      <c r="O632" s="81">
        <f t="shared" si="758"/>
        <v>0</v>
      </c>
      <c r="P632" s="81">
        <f>P633+P636+P639</f>
        <v>264750</v>
      </c>
      <c r="Q632" s="81">
        <f t="shared" ref="Q632:U632" si="759">Q633+Q636+Q639</f>
        <v>224682</v>
      </c>
      <c r="R632" s="81">
        <f t="shared" si="759"/>
        <v>224682</v>
      </c>
      <c r="S632" s="81">
        <f t="shared" si="759"/>
        <v>0</v>
      </c>
      <c r="T632" s="81">
        <f t="shared" si="759"/>
        <v>0</v>
      </c>
      <c r="U632" s="81">
        <f t="shared" si="759"/>
        <v>0</v>
      </c>
      <c r="V632" s="81">
        <f t="shared" si="754"/>
        <v>264750</v>
      </c>
      <c r="W632" s="81">
        <f t="shared" si="754"/>
        <v>224682</v>
      </c>
      <c r="X632" s="81">
        <f t="shared" si="754"/>
        <v>224682</v>
      </c>
    </row>
    <row r="633" spans="1:24" ht="25.5">
      <c r="A633" s="9" t="s">
        <v>351</v>
      </c>
      <c r="B633" s="1" t="s">
        <v>402</v>
      </c>
      <c r="C633" s="1" t="s">
        <v>16</v>
      </c>
      <c r="D633" s="1" t="s">
        <v>31</v>
      </c>
      <c r="E633" s="1" t="s">
        <v>13</v>
      </c>
      <c r="F633" s="1" t="s">
        <v>70</v>
      </c>
      <c r="G633" s="1" t="s">
        <v>148</v>
      </c>
      <c r="H633" s="1" t="s">
        <v>186</v>
      </c>
      <c r="I633" s="13"/>
      <c r="J633" s="102">
        <f t="shared" ref="J633:O634" si="760">J634</f>
        <v>85000</v>
      </c>
      <c r="K633" s="102">
        <f t="shared" si="760"/>
        <v>85000</v>
      </c>
      <c r="L633" s="102">
        <f t="shared" si="760"/>
        <v>85000</v>
      </c>
      <c r="M633" s="102">
        <f t="shared" si="760"/>
        <v>0</v>
      </c>
      <c r="N633" s="102">
        <f t="shared" si="760"/>
        <v>0</v>
      </c>
      <c r="O633" s="102">
        <f t="shared" si="760"/>
        <v>0</v>
      </c>
      <c r="P633" s="102">
        <f>P634</f>
        <v>85000</v>
      </c>
      <c r="Q633" s="102">
        <f t="shared" ref="Q633:U634" si="761">Q634</f>
        <v>85000</v>
      </c>
      <c r="R633" s="102">
        <f t="shared" si="761"/>
        <v>85000</v>
      </c>
      <c r="S633" s="102">
        <f t="shared" si="761"/>
        <v>0</v>
      </c>
      <c r="T633" s="102">
        <f t="shared" si="761"/>
        <v>0</v>
      </c>
      <c r="U633" s="102">
        <f t="shared" si="761"/>
        <v>0</v>
      </c>
      <c r="V633" s="102">
        <f t="shared" si="754"/>
        <v>85000</v>
      </c>
      <c r="W633" s="102">
        <f t="shared" si="754"/>
        <v>85000</v>
      </c>
      <c r="X633" s="102">
        <f t="shared" si="754"/>
        <v>85000</v>
      </c>
    </row>
    <row r="634" spans="1:24">
      <c r="A634" s="9" t="s">
        <v>80</v>
      </c>
      <c r="B634" s="1" t="s">
        <v>402</v>
      </c>
      <c r="C634" s="1" t="s">
        <v>16</v>
      </c>
      <c r="D634" s="1" t="s">
        <v>31</v>
      </c>
      <c r="E634" s="1" t="s">
        <v>13</v>
      </c>
      <c r="F634" s="1" t="s">
        <v>70</v>
      </c>
      <c r="G634" s="1" t="s">
        <v>148</v>
      </c>
      <c r="H634" s="1" t="s">
        <v>186</v>
      </c>
      <c r="I634" s="13" t="s">
        <v>77</v>
      </c>
      <c r="J634" s="102">
        <f t="shared" si="760"/>
        <v>85000</v>
      </c>
      <c r="K634" s="102">
        <f t="shared" si="760"/>
        <v>85000</v>
      </c>
      <c r="L634" s="102">
        <f t="shared" si="760"/>
        <v>85000</v>
      </c>
      <c r="M634" s="102">
        <f t="shared" si="760"/>
        <v>0</v>
      </c>
      <c r="N634" s="102">
        <f t="shared" si="760"/>
        <v>0</v>
      </c>
      <c r="O634" s="102">
        <f t="shared" si="760"/>
        <v>0</v>
      </c>
      <c r="P634" s="102">
        <f>P635</f>
        <v>85000</v>
      </c>
      <c r="Q634" s="102">
        <f t="shared" si="761"/>
        <v>85000</v>
      </c>
      <c r="R634" s="102">
        <f t="shared" si="761"/>
        <v>85000</v>
      </c>
      <c r="S634" s="102">
        <f t="shared" si="761"/>
        <v>0</v>
      </c>
      <c r="T634" s="102">
        <f t="shared" si="761"/>
        <v>0</v>
      </c>
      <c r="U634" s="102">
        <f t="shared" si="761"/>
        <v>0</v>
      </c>
      <c r="V634" s="102">
        <f t="shared" si="754"/>
        <v>85000</v>
      </c>
      <c r="W634" s="102">
        <f t="shared" si="754"/>
        <v>85000</v>
      </c>
      <c r="X634" s="102">
        <f t="shared" si="754"/>
        <v>85000</v>
      </c>
    </row>
    <row r="635" spans="1:24" ht="25.5">
      <c r="A635" s="209" t="s">
        <v>81</v>
      </c>
      <c r="B635" s="1" t="s">
        <v>402</v>
      </c>
      <c r="C635" s="1" t="s">
        <v>16</v>
      </c>
      <c r="D635" s="1" t="s">
        <v>31</v>
      </c>
      <c r="E635" s="1" t="s">
        <v>13</v>
      </c>
      <c r="F635" s="1" t="s">
        <v>70</v>
      </c>
      <c r="G635" s="1" t="s">
        <v>148</v>
      </c>
      <c r="H635" s="1" t="s">
        <v>186</v>
      </c>
      <c r="I635" s="13" t="s">
        <v>78</v>
      </c>
      <c r="J635" s="102">
        <v>85000</v>
      </c>
      <c r="K635" s="102">
        <v>85000</v>
      </c>
      <c r="L635" s="102">
        <v>85000</v>
      </c>
      <c r="M635" s="102"/>
      <c r="N635" s="102"/>
      <c r="O635" s="102"/>
      <c r="P635" s="102">
        <f>P986</f>
        <v>85000</v>
      </c>
      <c r="Q635" s="102">
        <f t="shared" ref="Q635:U635" si="762">Q986</f>
        <v>85000</v>
      </c>
      <c r="R635" s="102">
        <f t="shared" si="762"/>
        <v>85000</v>
      </c>
      <c r="S635" s="102">
        <f t="shared" si="762"/>
        <v>0</v>
      </c>
      <c r="T635" s="102">
        <f t="shared" si="762"/>
        <v>0</v>
      </c>
      <c r="U635" s="102">
        <f t="shared" si="762"/>
        <v>0</v>
      </c>
      <c r="V635" s="102">
        <f t="shared" si="754"/>
        <v>85000</v>
      </c>
      <c r="W635" s="102">
        <f t="shared" si="754"/>
        <v>85000</v>
      </c>
      <c r="X635" s="102">
        <f t="shared" si="754"/>
        <v>85000</v>
      </c>
    </row>
    <row r="636" spans="1:24">
      <c r="A636" s="209" t="s">
        <v>228</v>
      </c>
      <c r="B636" s="1" t="s">
        <v>402</v>
      </c>
      <c r="C636" s="1" t="s">
        <v>16</v>
      </c>
      <c r="D636" s="1" t="s">
        <v>31</v>
      </c>
      <c r="E636" s="1" t="s">
        <v>13</v>
      </c>
      <c r="F636" s="1" t="s">
        <v>70</v>
      </c>
      <c r="G636" s="1" t="s">
        <v>148</v>
      </c>
      <c r="H636" s="1" t="s">
        <v>227</v>
      </c>
      <c r="I636" s="13"/>
      <c r="J636" s="81">
        <f>J637</f>
        <v>50000</v>
      </c>
      <c r="K636" s="81">
        <f t="shared" ref="K636:O637" si="763">K637</f>
        <v>50000</v>
      </c>
      <c r="L636" s="81">
        <f t="shared" si="763"/>
        <v>50000</v>
      </c>
      <c r="M636" s="81">
        <f t="shared" si="763"/>
        <v>0</v>
      </c>
      <c r="N636" s="81">
        <f t="shared" si="763"/>
        <v>0</v>
      </c>
      <c r="O636" s="81">
        <f t="shared" si="763"/>
        <v>0</v>
      </c>
      <c r="P636" s="81">
        <f>P637</f>
        <v>50000</v>
      </c>
      <c r="Q636" s="81">
        <f t="shared" ref="Q636:U637" si="764">Q637</f>
        <v>50000</v>
      </c>
      <c r="R636" s="81">
        <f t="shared" si="764"/>
        <v>50000</v>
      </c>
      <c r="S636" s="81">
        <f t="shared" si="764"/>
        <v>0</v>
      </c>
      <c r="T636" s="81">
        <f t="shared" si="764"/>
        <v>0</v>
      </c>
      <c r="U636" s="81">
        <f t="shared" si="764"/>
        <v>0</v>
      </c>
      <c r="V636" s="81">
        <f t="shared" si="754"/>
        <v>50000</v>
      </c>
      <c r="W636" s="81">
        <f t="shared" si="754"/>
        <v>50000</v>
      </c>
      <c r="X636" s="81">
        <f t="shared" si="754"/>
        <v>50000</v>
      </c>
    </row>
    <row r="637" spans="1:24">
      <c r="A637" s="9" t="s">
        <v>80</v>
      </c>
      <c r="B637" s="1" t="s">
        <v>402</v>
      </c>
      <c r="C637" s="1" t="s">
        <v>16</v>
      </c>
      <c r="D637" s="1" t="s">
        <v>31</v>
      </c>
      <c r="E637" s="1" t="s">
        <v>13</v>
      </c>
      <c r="F637" s="1" t="s">
        <v>70</v>
      </c>
      <c r="G637" s="1" t="s">
        <v>148</v>
      </c>
      <c r="H637" s="1" t="s">
        <v>227</v>
      </c>
      <c r="I637" s="13" t="s">
        <v>77</v>
      </c>
      <c r="J637" s="81">
        <f>J638</f>
        <v>50000</v>
      </c>
      <c r="K637" s="81">
        <f t="shared" si="763"/>
        <v>50000</v>
      </c>
      <c r="L637" s="81">
        <f t="shared" si="763"/>
        <v>50000</v>
      </c>
      <c r="M637" s="81">
        <f t="shared" si="763"/>
        <v>0</v>
      </c>
      <c r="N637" s="81">
        <f t="shared" si="763"/>
        <v>0</v>
      </c>
      <c r="O637" s="81">
        <f t="shared" si="763"/>
        <v>0</v>
      </c>
      <c r="P637" s="81">
        <f>P638</f>
        <v>50000</v>
      </c>
      <c r="Q637" s="81">
        <f t="shared" si="764"/>
        <v>50000</v>
      </c>
      <c r="R637" s="81">
        <f t="shared" si="764"/>
        <v>50000</v>
      </c>
      <c r="S637" s="81">
        <f t="shared" si="764"/>
        <v>0</v>
      </c>
      <c r="T637" s="81">
        <f t="shared" si="764"/>
        <v>0</v>
      </c>
      <c r="U637" s="81">
        <f t="shared" si="764"/>
        <v>0</v>
      </c>
      <c r="V637" s="81">
        <f t="shared" si="754"/>
        <v>50000</v>
      </c>
      <c r="W637" s="81">
        <f t="shared" si="754"/>
        <v>50000</v>
      </c>
      <c r="X637" s="81">
        <f t="shared" si="754"/>
        <v>50000</v>
      </c>
    </row>
    <row r="638" spans="1:24" ht="25.5">
      <c r="A638" s="209" t="s">
        <v>81</v>
      </c>
      <c r="B638" s="1" t="s">
        <v>402</v>
      </c>
      <c r="C638" s="1" t="s">
        <v>16</v>
      </c>
      <c r="D638" s="1" t="s">
        <v>31</v>
      </c>
      <c r="E638" s="1" t="s">
        <v>13</v>
      </c>
      <c r="F638" s="1" t="s">
        <v>70</v>
      </c>
      <c r="G638" s="1" t="s">
        <v>148</v>
      </c>
      <c r="H638" s="1" t="s">
        <v>227</v>
      </c>
      <c r="I638" s="13" t="s">
        <v>78</v>
      </c>
      <c r="J638" s="81">
        <v>50000</v>
      </c>
      <c r="K638" s="81">
        <v>50000</v>
      </c>
      <c r="L638" s="81">
        <v>50000</v>
      </c>
      <c r="M638" s="81"/>
      <c r="N638" s="81"/>
      <c r="O638" s="81"/>
      <c r="P638" s="81">
        <f>P989</f>
        <v>50000</v>
      </c>
      <c r="Q638" s="81">
        <f t="shared" ref="Q638:U638" si="765">Q989</f>
        <v>50000</v>
      </c>
      <c r="R638" s="81">
        <f t="shared" si="765"/>
        <v>50000</v>
      </c>
      <c r="S638" s="81">
        <f t="shared" si="765"/>
        <v>0</v>
      </c>
      <c r="T638" s="81">
        <f t="shared" si="765"/>
        <v>0</v>
      </c>
      <c r="U638" s="81">
        <f t="shared" si="765"/>
        <v>0</v>
      </c>
      <c r="V638" s="81">
        <f t="shared" si="754"/>
        <v>50000</v>
      </c>
      <c r="W638" s="81">
        <f t="shared" si="754"/>
        <v>50000</v>
      </c>
      <c r="X638" s="81">
        <f t="shared" si="754"/>
        <v>50000</v>
      </c>
    </row>
    <row r="639" spans="1:24" ht="25.5">
      <c r="A639" s="209" t="s">
        <v>300</v>
      </c>
      <c r="B639" s="1" t="s">
        <v>402</v>
      </c>
      <c r="C639" s="1" t="s">
        <v>16</v>
      </c>
      <c r="D639" s="1" t="s">
        <v>31</v>
      </c>
      <c r="E639" s="1" t="s">
        <v>13</v>
      </c>
      <c r="F639" s="1" t="s">
        <v>70</v>
      </c>
      <c r="G639" s="1" t="s">
        <v>148</v>
      </c>
      <c r="H639" s="1" t="s">
        <v>220</v>
      </c>
      <c r="I639" s="13"/>
      <c r="J639" s="102">
        <f>J640</f>
        <v>129750</v>
      </c>
      <c r="K639" s="102">
        <f t="shared" ref="K639:O640" si="766">K640</f>
        <v>89682</v>
      </c>
      <c r="L639" s="102">
        <f t="shared" si="766"/>
        <v>89682</v>
      </c>
      <c r="M639" s="102">
        <f t="shared" si="766"/>
        <v>0</v>
      </c>
      <c r="N639" s="102">
        <f t="shared" si="766"/>
        <v>0</v>
      </c>
      <c r="O639" s="102">
        <f t="shared" si="766"/>
        <v>0</v>
      </c>
      <c r="P639" s="102">
        <f>P640</f>
        <v>129750</v>
      </c>
      <c r="Q639" s="102">
        <f t="shared" ref="Q639:U640" si="767">Q640</f>
        <v>89682</v>
      </c>
      <c r="R639" s="102">
        <f t="shared" si="767"/>
        <v>89682</v>
      </c>
      <c r="S639" s="102">
        <f t="shared" si="767"/>
        <v>0</v>
      </c>
      <c r="T639" s="102">
        <f t="shared" si="767"/>
        <v>0</v>
      </c>
      <c r="U639" s="102">
        <f t="shared" si="767"/>
        <v>0</v>
      </c>
      <c r="V639" s="102">
        <f t="shared" si="754"/>
        <v>129750</v>
      </c>
      <c r="W639" s="102">
        <f t="shared" si="754"/>
        <v>89682</v>
      </c>
      <c r="X639" s="102">
        <f t="shared" si="754"/>
        <v>89682</v>
      </c>
    </row>
    <row r="640" spans="1:24">
      <c r="A640" s="9" t="s">
        <v>80</v>
      </c>
      <c r="B640" s="1" t="s">
        <v>402</v>
      </c>
      <c r="C640" s="1" t="s">
        <v>16</v>
      </c>
      <c r="D640" s="1" t="s">
        <v>31</v>
      </c>
      <c r="E640" s="1" t="s">
        <v>13</v>
      </c>
      <c r="F640" s="1" t="s">
        <v>70</v>
      </c>
      <c r="G640" s="1" t="s">
        <v>148</v>
      </c>
      <c r="H640" s="1" t="s">
        <v>220</v>
      </c>
      <c r="I640" s="13" t="s">
        <v>77</v>
      </c>
      <c r="J640" s="102">
        <f>J641</f>
        <v>129750</v>
      </c>
      <c r="K640" s="102">
        <f t="shared" si="766"/>
        <v>89682</v>
      </c>
      <c r="L640" s="102">
        <f t="shared" si="766"/>
        <v>89682</v>
      </c>
      <c r="M640" s="102">
        <f t="shared" si="766"/>
        <v>0</v>
      </c>
      <c r="N640" s="102">
        <f t="shared" si="766"/>
        <v>0</v>
      </c>
      <c r="O640" s="102">
        <f t="shared" si="766"/>
        <v>0</v>
      </c>
      <c r="P640" s="102">
        <f>P641</f>
        <v>129750</v>
      </c>
      <c r="Q640" s="102">
        <f t="shared" si="767"/>
        <v>89682</v>
      </c>
      <c r="R640" s="102">
        <f t="shared" si="767"/>
        <v>89682</v>
      </c>
      <c r="S640" s="102">
        <f t="shared" si="767"/>
        <v>0</v>
      </c>
      <c r="T640" s="102">
        <f t="shared" si="767"/>
        <v>0</v>
      </c>
      <c r="U640" s="102">
        <f t="shared" si="767"/>
        <v>0</v>
      </c>
      <c r="V640" s="102">
        <f t="shared" si="754"/>
        <v>129750</v>
      </c>
      <c r="W640" s="102">
        <f t="shared" si="754"/>
        <v>89682</v>
      </c>
      <c r="X640" s="102">
        <f t="shared" si="754"/>
        <v>89682</v>
      </c>
    </row>
    <row r="641" spans="1:24" ht="25.5">
      <c r="A641" s="209" t="s">
        <v>81</v>
      </c>
      <c r="B641" s="1" t="s">
        <v>402</v>
      </c>
      <c r="C641" s="1" t="s">
        <v>16</v>
      </c>
      <c r="D641" s="1" t="s">
        <v>31</v>
      </c>
      <c r="E641" s="1" t="s">
        <v>13</v>
      </c>
      <c r="F641" s="1" t="s">
        <v>70</v>
      </c>
      <c r="G641" s="1" t="s">
        <v>148</v>
      </c>
      <c r="H641" s="1" t="s">
        <v>220</v>
      </c>
      <c r="I641" s="13" t="s">
        <v>78</v>
      </c>
      <c r="J641" s="102">
        <v>129750</v>
      </c>
      <c r="K641" s="102">
        <v>89682</v>
      </c>
      <c r="L641" s="102">
        <v>89682</v>
      </c>
      <c r="M641" s="102"/>
      <c r="N641" s="102"/>
      <c r="O641" s="102"/>
      <c r="P641" s="102">
        <f>P992</f>
        <v>129750</v>
      </c>
      <c r="Q641" s="102">
        <f t="shared" ref="Q641:U641" si="768">Q992</f>
        <v>89682</v>
      </c>
      <c r="R641" s="102">
        <f t="shared" si="768"/>
        <v>89682</v>
      </c>
      <c r="S641" s="102">
        <f t="shared" si="768"/>
        <v>0</v>
      </c>
      <c r="T641" s="102">
        <f t="shared" si="768"/>
        <v>0</v>
      </c>
      <c r="U641" s="102">
        <f t="shared" si="768"/>
        <v>0</v>
      </c>
      <c r="V641" s="102">
        <f t="shared" si="754"/>
        <v>129750</v>
      </c>
      <c r="W641" s="102">
        <f t="shared" si="754"/>
        <v>89682</v>
      </c>
      <c r="X641" s="102">
        <f t="shared" si="754"/>
        <v>89682</v>
      </c>
    </row>
    <row r="642" spans="1:24" ht="25.5">
      <c r="A642" s="209" t="s">
        <v>353</v>
      </c>
      <c r="B642" s="1" t="s">
        <v>402</v>
      </c>
      <c r="C642" s="1" t="s">
        <v>16</v>
      </c>
      <c r="D642" s="1" t="s">
        <v>31</v>
      </c>
      <c r="E642" s="1" t="s">
        <v>82</v>
      </c>
      <c r="F642" s="1" t="s">
        <v>70</v>
      </c>
      <c r="G642" s="1" t="s">
        <v>148</v>
      </c>
      <c r="H642" s="1" t="s">
        <v>149</v>
      </c>
      <c r="I642" s="13"/>
      <c r="J642" s="102">
        <f>J643</f>
        <v>1500000</v>
      </c>
      <c r="K642" s="102">
        <f t="shared" ref="K642:O644" si="769">K643</f>
        <v>0</v>
      </c>
      <c r="L642" s="102">
        <f t="shared" si="769"/>
        <v>0</v>
      </c>
      <c r="M642" s="102">
        <f t="shared" si="769"/>
        <v>0</v>
      </c>
      <c r="N642" s="102">
        <f t="shared" si="769"/>
        <v>0</v>
      </c>
      <c r="O642" s="102">
        <f t="shared" si="769"/>
        <v>0</v>
      </c>
      <c r="P642" s="102">
        <f>P643</f>
        <v>1500000</v>
      </c>
      <c r="Q642" s="102">
        <f t="shared" ref="Q642:U644" si="770">Q643</f>
        <v>0</v>
      </c>
      <c r="R642" s="102">
        <f t="shared" si="770"/>
        <v>0</v>
      </c>
      <c r="S642" s="102">
        <f t="shared" si="770"/>
        <v>0</v>
      </c>
      <c r="T642" s="102">
        <f t="shared" si="770"/>
        <v>0</v>
      </c>
      <c r="U642" s="102">
        <f t="shared" si="770"/>
        <v>0</v>
      </c>
      <c r="V642" s="102">
        <f t="shared" si="754"/>
        <v>1500000</v>
      </c>
      <c r="W642" s="102">
        <f t="shared" si="754"/>
        <v>0</v>
      </c>
      <c r="X642" s="102">
        <f t="shared" si="754"/>
        <v>0</v>
      </c>
    </row>
    <row r="643" spans="1:24" ht="25.5">
      <c r="A643" s="209" t="s">
        <v>353</v>
      </c>
      <c r="B643" s="1" t="s">
        <v>402</v>
      </c>
      <c r="C643" s="1" t="s">
        <v>16</v>
      </c>
      <c r="D643" s="1" t="s">
        <v>31</v>
      </c>
      <c r="E643" s="1" t="s">
        <v>82</v>
      </c>
      <c r="F643" s="1" t="s">
        <v>70</v>
      </c>
      <c r="G643" s="1" t="s">
        <v>148</v>
      </c>
      <c r="H643" s="1" t="s">
        <v>352</v>
      </c>
      <c r="I643" s="13"/>
      <c r="J643" s="102">
        <f>J644</f>
        <v>1500000</v>
      </c>
      <c r="K643" s="102">
        <f t="shared" si="769"/>
        <v>0</v>
      </c>
      <c r="L643" s="102">
        <f t="shared" si="769"/>
        <v>0</v>
      </c>
      <c r="M643" s="102">
        <f t="shared" si="769"/>
        <v>0</v>
      </c>
      <c r="N643" s="102">
        <f t="shared" si="769"/>
        <v>0</v>
      </c>
      <c r="O643" s="102">
        <f t="shared" si="769"/>
        <v>0</v>
      </c>
      <c r="P643" s="102">
        <f>P644</f>
        <v>1500000</v>
      </c>
      <c r="Q643" s="102">
        <f t="shared" si="770"/>
        <v>0</v>
      </c>
      <c r="R643" s="102">
        <f t="shared" si="770"/>
        <v>0</v>
      </c>
      <c r="S643" s="102">
        <f t="shared" si="770"/>
        <v>0</v>
      </c>
      <c r="T643" s="102">
        <f t="shared" si="770"/>
        <v>0</v>
      </c>
      <c r="U643" s="102">
        <f t="shared" si="770"/>
        <v>0</v>
      </c>
      <c r="V643" s="102">
        <f t="shared" si="754"/>
        <v>1500000</v>
      </c>
      <c r="W643" s="102">
        <f t="shared" si="754"/>
        <v>0</v>
      </c>
      <c r="X643" s="102">
        <f t="shared" si="754"/>
        <v>0</v>
      </c>
    </row>
    <row r="644" spans="1:24" ht="25.5">
      <c r="A644" s="189" t="s">
        <v>260</v>
      </c>
      <c r="B644" s="1" t="s">
        <v>402</v>
      </c>
      <c r="C644" s="1" t="s">
        <v>16</v>
      </c>
      <c r="D644" s="1" t="s">
        <v>31</v>
      </c>
      <c r="E644" s="1" t="s">
        <v>82</v>
      </c>
      <c r="F644" s="1" t="s">
        <v>70</v>
      </c>
      <c r="G644" s="1" t="s">
        <v>148</v>
      </c>
      <c r="H644" s="1" t="s">
        <v>352</v>
      </c>
      <c r="I644" s="13" t="s">
        <v>94</v>
      </c>
      <c r="J644" s="102">
        <f>J645</f>
        <v>1500000</v>
      </c>
      <c r="K644" s="102">
        <f t="shared" si="769"/>
        <v>0</v>
      </c>
      <c r="L644" s="102">
        <f t="shared" si="769"/>
        <v>0</v>
      </c>
      <c r="M644" s="102">
        <f t="shared" si="769"/>
        <v>0</v>
      </c>
      <c r="N644" s="102">
        <f t="shared" si="769"/>
        <v>0</v>
      </c>
      <c r="O644" s="102">
        <f t="shared" si="769"/>
        <v>0</v>
      </c>
      <c r="P644" s="102">
        <f>P645</f>
        <v>1500000</v>
      </c>
      <c r="Q644" s="102">
        <f t="shared" si="770"/>
        <v>0</v>
      </c>
      <c r="R644" s="102">
        <f t="shared" si="770"/>
        <v>0</v>
      </c>
      <c r="S644" s="102">
        <f t="shared" si="770"/>
        <v>0</v>
      </c>
      <c r="T644" s="102">
        <f t="shared" si="770"/>
        <v>0</v>
      </c>
      <c r="U644" s="102">
        <f t="shared" si="770"/>
        <v>0</v>
      </c>
      <c r="V644" s="102">
        <f t="shared" ref="V644:X660" si="771">P644+S644</f>
        <v>1500000</v>
      </c>
      <c r="W644" s="102">
        <f t="shared" si="771"/>
        <v>0</v>
      </c>
      <c r="X644" s="102">
        <f t="shared" si="771"/>
        <v>0</v>
      </c>
    </row>
    <row r="645" spans="1:24" ht="25.5">
      <c r="A645" s="188" t="s">
        <v>98</v>
      </c>
      <c r="B645" s="1" t="s">
        <v>402</v>
      </c>
      <c r="C645" s="1" t="s">
        <v>16</v>
      </c>
      <c r="D645" s="1" t="s">
        <v>31</v>
      </c>
      <c r="E645" s="1" t="s">
        <v>82</v>
      </c>
      <c r="F645" s="1" t="s">
        <v>70</v>
      </c>
      <c r="G645" s="1" t="s">
        <v>148</v>
      </c>
      <c r="H645" s="1" t="s">
        <v>352</v>
      </c>
      <c r="I645" s="13" t="s">
        <v>95</v>
      </c>
      <c r="J645" s="102">
        <v>1500000</v>
      </c>
      <c r="K645" s="102"/>
      <c r="L645" s="102"/>
      <c r="M645" s="102"/>
      <c r="N645" s="102"/>
      <c r="O645" s="102"/>
      <c r="P645" s="102">
        <f>P996</f>
        <v>1500000</v>
      </c>
      <c r="Q645" s="102">
        <f t="shared" ref="Q645:U645" si="772">Q996</f>
        <v>0</v>
      </c>
      <c r="R645" s="102">
        <f t="shared" si="772"/>
        <v>0</v>
      </c>
      <c r="S645" s="102">
        <f t="shared" si="772"/>
        <v>0</v>
      </c>
      <c r="T645" s="102">
        <f t="shared" si="772"/>
        <v>0</v>
      </c>
      <c r="U645" s="102">
        <f t="shared" si="772"/>
        <v>0</v>
      </c>
      <c r="V645" s="102">
        <f t="shared" si="771"/>
        <v>1500000</v>
      </c>
      <c r="W645" s="102">
        <f t="shared" si="771"/>
        <v>0</v>
      </c>
      <c r="X645" s="102">
        <f t="shared" si="771"/>
        <v>0</v>
      </c>
    </row>
    <row r="646" spans="1:24">
      <c r="A646" s="188"/>
      <c r="B646" s="1"/>
      <c r="C646" s="1"/>
      <c r="D646" s="1"/>
      <c r="E646" s="1"/>
      <c r="F646" s="1"/>
      <c r="G646" s="1"/>
      <c r="H646" s="1"/>
      <c r="I646" s="13"/>
      <c r="J646" s="102"/>
      <c r="K646" s="102"/>
      <c r="L646" s="102"/>
      <c r="M646" s="102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</row>
    <row r="647" spans="1:24" ht="15.75">
      <c r="A647" s="214" t="s">
        <v>46</v>
      </c>
      <c r="B647" s="29" t="s">
        <v>402</v>
      </c>
      <c r="C647" s="29" t="s">
        <v>18</v>
      </c>
      <c r="D647" s="29"/>
      <c r="E647" s="29"/>
      <c r="F647" s="29"/>
      <c r="G647" s="29"/>
      <c r="H647" s="29"/>
      <c r="I647" s="32"/>
      <c r="J647" s="100">
        <f t="shared" ref="J647:O647" si="773">J648+J669+J697</f>
        <v>50178822.200000003</v>
      </c>
      <c r="K647" s="100">
        <f t="shared" si="773"/>
        <v>25825224.580000002</v>
      </c>
      <c r="L647" s="100">
        <f t="shared" si="773"/>
        <v>25752142.93</v>
      </c>
      <c r="M647" s="100">
        <f t="shared" si="773"/>
        <v>4050770.67</v>
      </c>
      <c r="N647" s="100">
        <f t="shared" si="773"/>
        <v>2338432.4499999997</v>
      </c>
      <c r="O647" s="100">
        <f t="shared" si="773"/>
        <v>114360.81</v>
      </c>
      <c r="P647" s="100">
        <f t="shared" ref="P647:U647" si="774">P648+P669+P697+P733</f>
        <v>54229592.870000005</v>
      </c>
      <c r="Q647" s="100">
        <f t="shared" si="774"/>
        <v>28163657.030000001</v>
      </c>
      <c r="R647" s="100">
        <f t="shared" si="774"/>
        <v>25866503.740000002</v>
      </c>
      <c r="S647" s="100">
        <f t="shared" si="774"/>
        <v>1348514.11</v>
      </c>
      <c r="T647" s="100">
        <f t="shared" si="774"/>
        <v>0</v>
      </c>
      <c r="U647" s="100">
        <f t="shared" si="774"/>
        <v>0</v>
      </c>
      <c r="V647" s="100">
        <f t="shared" si="771"/>
        <v>55578106.980000004</v>
      </c>
      <c r="W647" s="100">
        <f t="shared" si="771"/>
        <v>28163657.030000001</v>
      </c>
      <c r="X647" s="100">
        <f t="shared" si="771"/>
        <v>25866503.740000002</v>
      </c>
    </row>
    <row r="648" spans="1:24">
      <c r="A648" s="215" t="s">
        <v>61</v>
      </c>
      <c r="B648" s="15" t="s">
        <v>402</v>
      </c>
      <c r="C648" s="15" t="s">
        <v>18</v>
      </c>
      <c r="D648" s="15" t="s">
        <v>20</v>
      </c>
      <c r="E648" s="15"/>
      <c r="F648" s="15"/>
      <c r="G648" s="15"/>
      <c r="H648" s="15"/>
      <c r="I648" s="26"/>
      <c r="J648" s="101">
        <f>J649+J664</f>
        <v>12152137.199999999</v>
      </c>
      <c r="K648" s="101">
        <f t="shared" ref="K648:O648" si="775">K649+K664</f>
        <v>0</v>
      </c>
      <c r="L648" s="101">
        <f t="shared" si="775"/>
        <v>0</v>
      </c>
      <c r="M648" s="101">
        <f t="shared" si="775"/>
        <v>105733</v>
      </c>
      <c r="N648" s="101">
        <f t="shared" si="775"/>
        <v>109962.32</v>
      </c>
      <c r="O648" s="101">
        <f t="shared" si="775"/>
        <v>114360.81</v>
      </c>
      <c r="P648" s="101">
        <f>P649+P664</f>
        <v>12257870.199999999</v>
      </c>
      <c r="Q648" s="101">
        <f t="shared" ref="P648:R649" si="776">K648+N648</f>
        <v>109962.32</v>
      </c>
      <c r="R648" s="101">
        <f t="shared" si="776"/>
        <v>114360.81</v>
      </c>
      <c r="S648" s="101">
        <f t="shared" ref="S648:U648" si="777">S649+S664</f>
        <v>10662.8</v>
      </c>
      <c r="T648" s="101">
        <f t="shared" si="777"/>
        <v>0</v>
      </c>
      <c r="U648" s="101">
        <f t="shared" si="777"/>
        <v>0</v>
      </c>
      <c r="V648" s="101">
        <f t="shared" si="771"/>
        <v>12268533</v>
      </c>
      <c r="W648" s="101">
        <f t="shared" si="771"/>
        <v>109962.32</v>
      </c>
      <c r="X648" s="101">
        <f t="shared" si="771"/>
        <v>114360.81</v>
      </c>
    </row>
    <row r="649" spans="1:24" ht="38.25">
      <c r="A649" s="9" t="s">
        <v>289</v>
      </c>
      <c r="B649" s="1" t="s">
        <v>402</v>
      </c>
      <c r="C649" s="1" t="s">
        <v>18</v>
      </c>
      <c r="D649" s="1" t="s">
        <v>20</v>
      </c>
      <c r="E649" s="1" t="s">
        <v>27</v>
      </c>
      <c r="F649" s="1" t="s">
        <v>70</v>
      </c>
      <c r="G649" s="1" t="s">
        <v>148</v>
      </c>
      <c r="H649" s="1" t="s">
        <v>149</v>
      </c>
      <c r="I649" s="13"/>
      <c r="J649" s="81">
        <f>J650</f>
        <v>12152137.199999999</v>
      </c>
      <c r="K649" s="81">
        <f t="shared" ref="K649:O649" si="778">K650</f>
        <v>0</v>
      </c>
      <c r="L649" s="81">
        <f t="shared" si="778"/>
        <v>0</v>
      </c>
      <c r="M649" s="81">
        <f t="shared" si="778"/>
        <v>0</v>
      </c>
      <c r="N649" s="81">
        <f t="shared" si="778"/>
        <v>0</v>
      </c>
      <c r="O649" s="81">
        <f t="shared" si="778"/>
        <v>0</v>
      </c>
      <c r="P649" s="81">
        <f t="shared" si="776"/>
        <v>12152137.199999999</v>
      </c>
      <c r="Q649" s="81">
        <f t="shared" si="776"/>
        <v>0</v>
      </c>
      <c r="R649" s="81">
        <f t="shared" si="776"/>
        <v>0</v>
      </c>
      <c r="S649" s="81">
        <f t="shared" ref="S649:U649" si="779">S650</f>
        <v>10662.8</v>
      </c>
      <c r="T649" s="81">
        <f t="shared" si="779"/>
        <v>0</v>
      </c>
      <c r="U649" s="81">
        <f t="shared" si="779"/>
        <v>0</v>
      </c>
      <c r="V649" s="81">
        <f t="shared" si="771"/>
        <v>12162800</v>
      </c>
      <c r="W649" s="81">
        <f t="shared" si="771"/>
        <v>0</v>
      </c>
      <c r="X649" s="81">
        <f t="shared" si="771"/>
        <v>0</v>
      </c>
    </row>
    <row r="650" spans="1:24">
      <c r="A650" s="209" t="s">
        <v>215</v>
      </c>
      <c r="B650" s="1" t="s">
        <v>402</v>
      </c>
      <c r="C650" s="1" t="s">
        <v>18</v>
      </c>
      <c r="D650" s="1" t="s">
        <v>20</v>
      </c>
      <c r="E650" s="1" t="s">
        <v>27</v>
      </c>
      <c r="F650" s="1" t="s">
        <v>127</v>
      </c>
      <c r="G650" s="1" t="s">
        <v>148</v>
      </c>
      <c r="H650" s="1" t="s">
        <v>149</v>
      </c>
      <c r="I650" s="13"/>
      <c r="J650" s="81">
        <f>J651+J654+J659</f>
        <v>12152137.199999999</v>
      </c>
      <c r="K650" s="81">
        <f t="shared" ref="K650:O650" si="780">K651+K654+K659</f>
        <v>0</v>
      </c>
      <c r="L650" s="81">
        <f t="shared" si="780"/>
        <v>0</v>
      </c>
      <c r="M650" s="81">
        <f t="shared" si="780"/>
        <v>0</v>
      </c>
      <c r="N650" s="81">
        <f t="shared" si="780"/>
        <v>0</v>
      </c>
      <c r="O650" s="81">
        <f t="shared" si="780"/>
        <v>0</v>
      </c>
      <c r="P650" s="81">
        <f>P651+P654+P659</f>
        <v>12152137.199999999</v>
      </c>
      <c r="Q650" s="81">
        <f t="shared" ref="Q650:U650" si="781">Q651+Q654+Q659</f>
        <v>0</v>
      </c>
      <c r="R650" s="81">
        <f t="shared" si="781"/>
        <v>0</v>
      </c>
      <c r="S650" s="81">
        <f t="shared" si="781"/>
        <v>10662.8</v>
      </c>
      <c r="T650" s="81">
        <f t="shared" si="781"/>
        <v>0</v>
      </c>
      <c r="U650" s="81">
        <f t="shared" si="781"/>
        <v>0</v>
      </c>
      <c r="V650" s="81">
        <f t="shared" si="771"/>
        <v>12162800</v>
      </c>
      <c r="W650" s="81">
        <f t="shared" si="771"/>
        <v>0</v>
      </c>
      <c r="X650" s="81">
        <f t="shared" si="771"/>
        <v>0</v>
      </c>
    </row>
    <row r="651" spans="1:24">
      <c r="A651" s="209" t="s">
        <v>355</v>
      </c>
      <c r="B651" s="1" t="s">
        <v>402</v>
      </c>
      <c r="C651" s="1" t="s">
        <v>18</v>
      </c>
      <c r="D651" s="1" t="s">
        <v>20</v>
      </c>
      <c r="E651" s="1" t="s">
        <v>27</v>
      </c>
      <c r="F651" s="1" t="s">
        <v>127</v>
      </c>
      <c r="G651" s="1" t="s">
        <v>148</v>
      </c>
      <c r="H651" s="1" t="s">
        <v>354</v>
      </c>
      <c r="I651" s="13"/>
      <c r="J651" s="81">
        <f>J652</f>
        <v>1500000</v>
      </c>
      <c r="K651" s="81">
        <f t="shared" ref="K651:O652" si="782">K652</f>
        <v>0</v>
      </c>
      <c r="L651" s="81">
        <f t="shared" si="782"/>
        <v>0</v>
      </c>
      <c r="M651" s="81">
        <f t="shared" si="782"/>
        <v>0</v>
      </c>
      <c r="N651" s="81">
        <f t="shared" si="782"/>
        <v>0</v>
      </c>
      <c r="O651" s="81">
        <f t="shared" si="782"/>
        <v>0</v>
      </c>
      <c r="P651" s="81">
        <f>P652</f>
        <v>1500000</v>
      </c>
      <c r="Q651" s="81">
        <f t="shared" ref="Q651:U652" si="783">Q652</f>
        <v>0</v>
      </c>
      <c r="R651" s="81">
        <f t="shared" si="783"/>
        <v>0</v>
      </c>
      <c r="S651" s="81">
        <f t="shared" si="783"/>
        <v>0</v>
      </c>
      <c r="T651" s="81">
        <f t="shared" si="783"/>
        <v>0</v>
      </c>
      <c r="U651" s="81">
        <f t="shared" si="783"/>
        <v>0</v>
      </c>
      <c r="V651" s="81">
        <f t="shared" si="771"/>
        <v>1500000</v>
      </c>
      <c r="W651" s="81">
        <f t="shared" si="771"/>
        <v>0</v>
      </c>
      <c r="X651" s="81">
        <f t="shared" si="771"/>
        <v>0</v>
      </c>
    </row>
    <row r="652" spans="1:24" ht="25.5">
      <c r="A652" s="189" t="s">
        <v>260</v>
      </c>
      <c r="B652" s="1" t="s">
        <v>402</v>
      </c>
      <c r="C652" s="1" t="s">
        <v>18</v>
      </c>
      <c r="D652" s="1" t="s">
        <v>20</v>
      </c>
      <c r="E652" s="1" t="s">
        <v>27</v>
      </c>
      <c r="F652" s="1" t="s">
        <v>127</v>
      </c>
      <c r="G652" s="1" t="s">
        <v>148</v>
      </c>
      <c r="H652" s="1" t="s">
        <v>354</v>
      </c>
      <c r="I652" s="13" t="s">
        <v>94</v>
      </c>
      <c r="J652" s="81">
        <f>J653</f>
        <v>1500000</v>
      </c>
      <c r="K652" s="81">
        <f t="shared" si="782"/>
        <v>0</v>
      </c>
      <c r="L652" s="81">
        <f t="shared" si="782"/>
        <v>0</v>
      </c>
      <c r="M652" s="81">
        <f t="shared" si="782"/>
        <v>0</v>
      </c>
      <c r="N652" s="81">
        <f t="shared" si="782"/>
        <v>0</v>
      </c>
      <c r="O652" s="81">
        <f t="shared" si="782"/>
        <v>0</v>
      </c>
      <c r="P652" s="81">
        <f>P653</f>
        <v>1500000</v>
      </c>
      <c r="Q652" s="81">
        <f t="shared" si="783"/>
        <v>0</v>
      </c>
      <c r="R652" s="81">
        <f t="shared" si="783"/>
        <v>0</v>
      </c>
      <c r="S652" s="81">
        <f t="shared" si="783"/>
        <v>0</v>
      </c>
      <c r="T652" s="81">
        <f t="shared" si="783"/>
        <v>0</v>
      </c>
      <c r="U652" s="81">
        <f t="shared" si="783"/>
        <v>0</v>
      </c>
      <c r="V652" s="81">
        <f t="shared" si="771"/>
        <v>1500000</v>
      </c>
      <c r="W652" s="81">
        <f t="shared" si="771"/>
        <v>0</v>
      </c>
      <c r="X652" s="81">
        <f t="shared" si="771"/>
        <v>0</v>
      </c>
    </row>
    <row r="653" spans="1:24" ht="25.5">
      <c r="A653" s="188" t="s">
        <v>98</v>
      </c>
      <c r="B653" s="1" t="s">
        <v>402</v>
      </c>
      <c r="C653" s="1" t="s">
        <v>18</v>
      </c>
      <c r="D653" s="1" t="s">
        <v>20</v>
      </c>
      <c r="E653" s="1" t="s">
        <v>27</v>
      </c>
      <c r="F653" s="1" t="s">
        <v>127</v>
      </c>
      <c r="G653" s="1" t="s">
        <v>148</v>
      </c>
      <c r="H653" s="1" t="s">
        <v>354</v>
      </c>
      <c r="I653" s="13" t="s">
        <v>95</v>
      </c>
      <c r="J653" s="81">
        <v>1500000</v>
      </c>
      <c r="K653" s="81"/>
      <c r="L653" s="81"/>
      <c r="M653" s="81"/>
      <c r="N653" s="81"/>
      <c r="O653" s="81"/>
      <c r="P653" s="81">
        <f>P1003</f>
        <v>1500000</v>
      </c>
      <c r="Q653" s="81">
        <f t="shared" ref="Q653:U653" si="784">Q1003</f>
        <v>0</v>
      </c>
      <c r="R653" s="81">
        <f t="shared" si="784"/>
        <v>0</v>
      </c>
      <c r="S653" s="81">
        <f t="shared" si="784"/>
        <v>0</v>
      </c>
      <c r="T653" s="81">
        <f t="shared" si="784"/>
        <v>0</v>
      </c>
      <c r="U653" s="81">
        <f t="shared" si="784"/>
        <v>0</v>
      </c>
      <c r="V653" s="81">
        <f t="shared" si="771"/>
        <v>1500000</v>
      </c>
      <c r="W653" s="81">
        <f t="shared" si="771"/>
        <v>0</v>
      </c>
      <c r="X653" s="81">
        <f t="shared" si="771"/>
        <v>0</v>
      </c>
    </row>
    <row r="654" spans="1:24" ht="66" customHeight="1">
      <c r="A654" s="289" t="s">
        <v>255</v>
      </c>
      <c r="B654" s="1" t="s">
        <v>402</v>
      </c>
      <c r="C654" s="59" t="s">
        <v>18</v>
      </c>
      <c r="D654" s="59" t="s">
        <v>20</v>
      </c>
      <c r="E654" s="59" t="s">
        <v>27</v>
      </c>
      <c r="F654" s="59" t="s">
        <v>127</v>
      </c>
      <c r="G654" s="59" t="s">
        <v>256</v>
      </c>
      <c r="H654" s="59" t="s">
        <v>257</v>
      </c>
      <c r="I654" s="116"/>
      <c r="J654" s="81">
        <f>J655+J657</f>
        <v>10449544</v>
      </c>
      <c r="K654" s="81">
        <f t="shared" ref="K654:O654" si="785">K655+K657</f>
        <v>0</v>
      </c>
      <c r="L654" s="81">
        <f t="shared" si="785"/>
        <v>0</v>
      </c>
      <c r="M654" s="81">
        <f t="shared" si="785"/>
        <v>0</v>
      </c>
      <c r="N654" s="81">
        <f t="shared" si="785"/>
        <v>0</v>
      </c>
      <c r="O654" s="81">
        <f t="shared" si="785"/>
        <v>0</v>
      </c>
      <c r="P654" s="81">
        <f>P655+P657</f>
        <v>10449544</v>
      </c>
      <c r="Q654" s="81">
        <f t="shared" ref="Q654:U654" si="786">Q655+Q657</f>
        <v>0</v>
      </c>
      <c r="R654" s="81">
        <f t="shared" si="786"/>
        <v>0</v>
      </c>
      <c r="S654" s="81">
        <f t="shared" si="786"/>
        <v>0</v>
      </c>
      <c r="T654" s="81">
        <f t="shared" si="786"/>
        <v>0</v>
      </c>
      <c r="U654" s="81">
        <f t="shared" si="786"/>
        <v>0</v>
      </c>
      <c r="V654" s="81">
        <f t="shared" si="771"/>
        <v>10449544</v>
      </c>
      <c r="W654" s="81">
        <f t="shared" si="771"/>
        <v>0</v>
      </c>
      <c r="X654" s="81">
        <f t="shared" si="771"/>
        <v>0</v>
      </c>
    </row>
    <row r="655" spans="1:24" ht="25.5">
      <c r="A655" s="209" t="s">
        <v>120</v>
      </c>
      <c r="B655" s="1" t="s">
        <v>402</v>
      </c>
      <c r="C655" s="59" t="s">
        <v>18</v>
      </c>
      <c r="D655" s="59" t="s">
        <v>20</v>
      </c>
      <c r="E655" s="59" t="s">
        <v>27</v>
      </c>
      <c r="F655" s="59" t="s">
        <v>127</v>
      </c>
      <c r="G655" s="59" t="s">
        <v>256</v>
      </c>
      <c r="H655" s="59" t="s">
        <v>257</v>
      </c>
      <c r="I655" s="116" t="s">
        <v>118</v>
      </c>
      <c r="J655" s="81">
        <f>J656</f>
        <v>9299544</v>
      </c>
      <c r="K655" s="81">
        <f t="shared" ref="K655:O655" si="787">K656</f>
        <v>0</v>
      </c>
      <c r="L655" s="81">
        <f t="shared" si="787"/>
        <v>0</v>
      </c>
      <c r="M655" s="81">
        <f t="shared" si="787"/>
        <v>0</v>
      </c>
      <c r="N655" s="81">
        <f t="shared" si="787"/>
        <v>0</v>
      </c>
      <c r="O655" s="81">
        <f t="shared" si="787"/>
        <v>0</v>
      </c>
      <c r="P655" s="81">
        <f>P656</f>
        <v>9299544</v>
      </c>
      <c r="Q655" s="81">
        <f t="shared" ref="Q655:U655" si="788">Q656</f>
        <v>0</v>
      </c>
      <c r="R655" s="81">
        <f t="shared" si="788"/>
        <v>0</v>
      </c>
      <c r="S655" s="81">
        <f t="shared" si="788"/>
        <v>0</v>
      </c>
      <c r="T655" s="81">
        <f t="shared" si="788"/>
        <v>0</v>
      </c>
      <c r="U655" s="81">
        <f t="shared" si="788"/>
        <v>0</v>
      </c>
      <c r="V655" s="81">
        <f t="shared" si="771"/>
        <v>9299544</v>
      </c>
      <c r="W655" s="81">
        <f t="shared" si="771"/>
        <v>0</v>
      </c>
      <c r="X655" s="81">
        <f t="shared" si="771"/>
        <v>0</v>
      </c>
    </row>
    <row r="656" spans="1:24">
      <c r="A656" s="209" t="s">
        <v>121</v>
      </c>
      <c r="B656" s="1" t="s">
        <v>402</v>
      </c>
      <c r="C656" s="59" t="s">
        <v>18</v>
      </c>
      <c r="D656" s="59" t="s">
        <v>20</v>
      </c>
      <c r="E656" s="59" t="s">
        <v>27</v>
      </c>
      <c r="F656" s="59" t="s">
        <v>127</v>
      </c>
      <c r="G656" s="59" t="s">
        <v>256</v>
      </c>
      <c r="H656" s="59" t="s">
        <v>257</v>
      </c>
      <c r="I656" s="116" t="s">
        <v>119</v>
      </c>
      <c r="J656" s="81">
        <v>9299544</v>
      </c>
      <c r="K656" s="81"/>
      <c r="L656" s="81"/>
      <c r="M656" s="81"/>
      <c r="N656" s="81"/>
      <c r="O656" s="81"/>
      <c r="P656" s="81">
        <f>P1006</f>
        <v>9299544</v>
      </c>
      <c r="Q656" s="81">
        <f t="shared" ref="Q656:U656" si="789">Q1006</f>
        <v>0</v>
      </c>
      <c r="R656" s="81">
        <f t="shared" si="789"/>
        <v>0</v>
      </c>
      <c r="S656" s="81">
        <f t="shared" si="789"/>
        <v>0</v>
      </c>
      <c r="T656" s="81">
        <f t="shared" si="789"/>
        <v>0</v>
      </c>
      <c r="U656" s="81">
        <f t="shared" si="789"/>
        <v>0</v>
      </c>
      <c r="V656" s="81">
        <f t="shared" si="771"/>
        <v>9299544</v>
      </c>
      <c r="W656" s="81">
        <f t="shared" si="771"/>
        <v>0</v>
      </c>
      <c r="X656" s="81">
        <f t="shared" si="771"/>
        <v>0</v>
      </c>
    </row>
    <row r="657" spans="1:24">
      <c r="A657" s="188" t="s">
        <v>80</v>
      </c>
      <c r="B657" s="1" t="s">
        <v>402</v>
      </c>
      <c r="C657" s="59" t="s">
        <v>18</v>
      </c>
      <c r="D657" s="59" t="s">
        <v>20</v>
      </c>
      <c r="E657" s="59" t="s">
        <v>27</v>
      </c>
      <c r="F657" s="59" t="s">
        <v>127</v>
      </c>
      <c r="G657" s="59" t="s">
        <v>256</v>
      </c>
      <c r="H657" s="59" t="s">
        <v>257</v>
      </c>
      <c r="I657" s="116" t="s">
        <v>77</v>
      </c>
      <c r="J657" s="81">
        <f>J658</f>
        <v>1150000</v>
      </c>
      <c r="K657" s="81">
        <f t="shared" ref="K657:O657" si="790">K658</f>
        <v>0</v>
      </c>
      <c r="L657" s="81">
        <f t="shared" si="790"/>
        <v>0</v>
      </c>
      <c r="M657" s="81">
        <f t="shared" si="790"/>
        <v>0</v>
      </c>
      <c r="N657" s="81">
        <f t="shared" si="790"/>
        <v>0</v>
      </c>
      <c r="O657" s="81">
        <f t="shared" si="790"/>
        <v>0</v>
      </c>
      <c r="P657" s="81">
        <f>P658</f>
        <v>1150000</v>
      </c>
      <c r="Q657" s="81">
        <f t="shared" ref="Q657:U657" si="791">Q658</f>
        <v>0</v>
      </c>
      <c r="R657" s="81">
        <f t="shared" si="791"/>
        <v>0</v>
      </c>
      <c r="S657" s="81">
        <f t="shared" si="791"/>
        <v>0</v>
      </c>
      <c r="T657" s="81">
        <f t="shared" si="791"/>
        <v>0</v>
      </c>
      <c r="U657" s="81">
        <f t="shared" si="791"/>
        <v>0</v>
      </c>
      <c r="V657" s="81">
        <f t="shared" si="771"/>
        <v>1150000</v>
      </c>
      <c r="W657" s="81">
        <f t="shared" si="771"/>
        <v>0</v>
      </c>
      <c r="X657" s="81">
        <f t="shared" si="771"/>
        <v>0</v>
      </c>
    </row>
    <row r="658" spans="1:24">
      <c r="A658" s="190" t="s">
        <v>125</v>
      </c>
      <c r="B658" s="1" t="s">
        <v>402</v>
      </c>
      <c r="C658" s="59" t="s">
        <v>18</v>
      </c>
      <c r="D658" s="59" t="s">
        <v>20</v>
      </c>
      <c r="E658" s="59" t="s">
        <v>27</v>
      </c>
      <c r="F658" s="59" t="s">
        <v>127</v>
      </c>
      <c r="G658" s="59" t="s">
        <v>256</v>
      </c>
      <c r="H658" s="59" t="s">
        <v>257</v>
      </c>
      <c r="I658" s="116" t="s">
        <v>124</v>
      </c>
      <c r="J658" s="81">
        <v>1150000</v>
      </c>
      <c r="K658" s="81"/>
      <c r="L658" s="81"/>
      <c r="M658" s="81"/>
      <c r="N658" s="81"/>
      <c r="O658" s="81"/>
      <c r="P658" s="81">
        <f>P1008</f>
        <v>1150000</v>
      </c>
      <c r="Q658" s="81">
        <f t="shared" ref="Q658:U658" si="792">Q1008</f>
        <v>0</v>
      </c>
      <c r="R658" s="81">
        <f t="shared" si="792"/>
        <v>0</v>
      </c>
      <c r="S658" s="81">
        <f t="shared" si="792"/>
        <v>0</v>
      </c>
      <c r="T658" s="81">
        <f t="shared" si="792"/>
        <v>0</v>
      </c>
      <c r="U658" s="81">
        <f t="shared" si="792"/>
        <v>0</v>
      </c>
      <c r="V658" s="81">
        <f t="shared" si="771"/>
        <v>1150000</v>
      </c>
      <c r="W658" s="81">
        <f t="shared" si="771"/>
        <v>0</v>
      </c>
      <c r="X658" s="81">
        <f t="shared" si="771"/>
        <v>0</v>
      </c>
    </row>
    <row r="659" spans="1:24" ht="51" customHeight="1">
      <c r="A659" s="289" t="s">
        <v>258</v>
      </c>
      <c r="B659" s="1" t="s">
        <v>402</v>
      </c>
      <c r="C659" s="59" t="s">
        <v>18</v>
      </c>
      <c r="D659" s="59" t="s">
        <v>20</v>
      </c>
      <c r="E659" s="59" t="s">
        <v>27</v>
      </c>
      <c r="F659" s="59" t="s">
        <v>127</v>
      </c>
      <c r="G659" s="59" t="s">
        <v>256</v>
      </c>
      <c r="H659" s="59" t="s">
        <v>259</v>
      </c>
      <c r="I659" s="116"/>
      <c r="J659" s="81">
        <f>J660+J662</f>
        <v>202593.2</v>
      </c>
      <c r="K659" s="81">
        <f t="shared" ref="K659:O659" si="793">K660+K662</f>
        <v>0</v>
      </c>
      <c r="L659" s="81">
        <f t="shared" si="793"/>
        <v>0</v>
      </c>
      <c r="M659" s="81">
        <f t="shared" si="793"/>
        <v>0</v>
      </c>
      <c r="N659" s="81">
        <f t="shared" si="793"/>
        <v>0</v>
      </c>
      <c r="O659" s="81">
        <f t="shared" si="793"/>
        <v>0</v>
      </c>
      <c r="P659" s="81">
        <f>P660+P662</f>
        <v>202593.2</v>
      </c>
      <c r="Q659" s="81">
        <f t="shared" ref="Q659:U659" si="794">Q660+Q662</f>
        <v>0</v>
      </c>
      <c r="R659" s="81">
        <f t="shared" si="794"/>
        <v>0</v>
      </c>
      <c r="S659" s="81">
        <f t="shared" si="794"/>
        <v>10662.8</v>
      </c>
      <c r="T659" s="81">
        <f t="shared" si="794"/>
        <v>0</v>
      </c>
      <c r="U659" s="81">
        <f t="shared" si="794"/>
        <v>0</v>
      </c>
      <c r="V659" s="81">
        <f t="shared" si="771"/>
        <v>213256</v>
      </c>
      <c r="W659" s="81">
        <f t="shared" si="771"/>
        <v>0</v>
      </c>
      <c r="X659" s="81">
        <f t="shared" si="771"/>
        <v>0</v>
      </c>
    </row>
    <row r="660" spans="1:24" ht="25.5">
      <c r="A660" s="209" t="s">
        <v>120</v>
      </c>
      <c r="B660" s="1" t="s">
        <v>402</v>
      </c>
      <c r="C660" s="59" t="s">
        <v>18</v>
      </c>
      <c r="D660" s="59" t="s">
        <v>20</v>
      </c>
      <c r="E660" s="59" t="s">
        <v>27</v>
      </c>
      <c r="F660" s="59" t="s">
        <v>127</v>
      </c>
      <c r="G660" s="59" t="s">
        <v>256</v>
      </c>
      <c r="H660" s="59" t="s">
        <v>259</v>
      </c>
      <c r="I660" s="116" t="s">
        <v>118</v>
      </c>
      <c r="J660" s="81">
        <f>J661</f>
        <v>180393.2</v>
      </c>
      <c r="K660" s="81">
        <f t="shared" ref="K660:O660" si="795">K661</f>
        <v>0</v>
      </c>
      <c r="L660" s="81">
        <f t="shared" si="795"/>
        <v>0</v>
      </c>
      <c r="M660" s="81">
        <f t="shared" si="795"/>
        <v>0</v>
      </c>
      <c r="N660" s="81">
        <f t="shared" si="795"/>
        <v>0</v>
      </c>
      <c r="O660" s="81">
        <f t="shared" si="795"/>
        <v>0</v>
      </c>
      <c r="P660" s="81">
        <f>P661</f>
        <v>180393.2</v>
      </c>
      <c r="Q660" s="81">
        <f t="shared" ref="Q660:U660" si="796">Q661</f>
        <v>0</v>
      </c>
      <c r="R660" s="81">
        <f t="shared" si="796"/>
        <v>0</v>
      </c>
      <c r="S660" s="81">
        <f t="shared" si="796"/>
        <v>9494.3799999999992</v>
      </c>
      <c r="T660" s="81">
        <f t="shared" si="796"/>
        <v>0</v>
      </c>
      <c r="U660" s="81">
        <f t="shared" si="796"/>
        <v>0</v>
      </c>
      <c r="V660" s="81">
        <f t="shared" si="771"/>
        <v>189887.58000000002</v>
      </c>
      <c r="W660" s="81">
        <f t="shared" si="771"/>
        <v>0</v>
      </c>
      <c r="X660" s="81">
        <f t="shared" si="771"/>
        <v>0</v>
      </c>
    </row>
    <row r="661" spans="1:24">
      <c r="A661" s="209" t="s">
        <v>121</v>
      </c>
      <c r="B661" s="1" t="s">
        <v>402</v>
      </c>
      <c r="C661" s="59" t="s">
        <v>18</v>
      </c>
      <c r="D661" s="59" t="s">
        <v>20</v>
      </c>
      <c r="E661" s="59" t="s">
        <v>27</v>
      </c>
      <c r="F661" s="59" t="s">
        <v>127</v>
      </c>
      <c r="G661" s="59" t="s">
        <v>256</v>
      </c>
      <c r="H661" s="59" t="s">
        <v>259</v>
      </c>
      <c r="I661" s="116" t="s">
        <v>119</v>
      </c>
      <c r="J661" s="81">
        <v>180393.2</v>
      </c>
      <c r="K661" s="81"/>
      <c r="L661" s="81"/>
      <c r="M661" s="81"/>
      <c r="N661" s="81"/>
      <c r="O661" s="81"/>
      <c r="P661" s="81">
        <f>P1011</f>
        <v>180393.2</v>
      </c>
      <c r="Q661" s="81">
        <f t="shared" ref="Q661:U661" si="797">Q1011</f>
        <v>0</v>
      </c>
      <c r="R661" s="81">
        <f t="shared" si="797"/>
        <v>0</v>
      </c>
      <c r="S661" s="81">
        <f t="shared" si="797"/>
        <v>9494.3799999999992</v>
      </c>
      <c r="T661" s="81">
        <f t="shared" si="797"/>
        <v>0</v>
      </c>
      <c r="U661" s="81">
        <f t="shared" si="797"/>
        <v>0</v>
      </c>
      <c r="V661" s="81">
        <f t="shared" ref="V661:X682" si="798">P661+S661</f>
        <v>189887.58000000002</v>
      </c>
      <c r="W661" s="81">
        <f t="shared" si="798"/>
        <v>0</v>
      </c>
      <c r="X661" s="81">
        <f t="shared" si="798"/>
        <v>0</v>
      </c>
    </row>
    <row r="662" spans="1:24">
      <c r="A662" s="188" t="s">
        <v>80</v>
      </c>
      <c r="B662" s="1" t="s">
        <v>402</v>
      </c>
      <c r="C662" s="59" t="s">
        <v>18</v>
      </c>
      <c r="D662" s="59" t="s">
        <v>20</v>
      </c>
      <c r="E662" s="59" t="s">
        <v>27</v>
      </c>
      <c r="F662" s="59" t="s">
        <v>127</v>
      </c>
      <c r="G662" s="59" t="s">
        <v>256</v>
      </c>
      <c r="H662" s="59" t="s">
        <v>259</v>
      </c>
      <c r="I662" s="116" t="s">
        <v>77</v>
      </c>
      <c r="J662" s="81">
        <f>J663</f>
        <v>22200</v>
      </c>
      <c r="K662" s="81">
        <f t="shared" ref="K662:O662" si="799">K663</f>
        <v>0</v>
      </c>
      <c r="L662" s="81">
        <f t="shared" si="799"/>
        <v>0</v>
      </c>
      <c r="M662" s="81">
        <f t="shared" si="799"/>
        <v>0</v>
      </c>
      <c r="N662" s="81">
        <f t="shared" si="799"/>
        <v>0</v>
      </c>
      <c r="O662" s="81">
        <f t="shared" si="799"/>
        <v>0</v>
      </c>
      <c r="P662" s="81">
        <f>P663</f>
        <v>22200</v>
      </c>
      <c r="Q662" s="81">
        <f t="shared" ref="Q662:U662" si="800">Q663</f>
        <v>0</v>
      </c>
      <c r="R662" s="81">
        <f t="shared" si="800"/>
        <v>0</v>
      </c>
      <c r="S662" s="81">
        <f t="shared" si="800"/>
        <v>1168.42</v>
      </c>
      <c r="T662" s="81">
        <f t="shared" si="800"/>
        <v>0</v>
      </c>
      <c r="U662" s="81">
        <f t="shared" si="800"/>
        <v>0</v>
      </c>
      <c r="V662" s="81">
        <f t="shared" si="798"/>
        <v>23368.42</v>
      </c>
      <c r="W662" s="81">
        <f t="shared" si="798"/>
        <v>0</v>
      </c>
      <c r="X662" s="81">
        <f t="shared" si="798"/>
        <v>0</v>
      </c>
    </row>
    <row r="663" spans="1:24">
      <c r="A663" s="190" t="s">
        <v>125</v>
      </c>
      <c r="B663" s="1" t="s">
        <v>402</v>
      </c>
      <c r="C663" s="59" t="s">
        <v>18</v>
      </c>
      <c r="D663" s="59" t="s">
        <v>20</v>
      </c>
      <c r="E663" s="59" t="s">
        <v>27</v>
      </c>
      <c r="F663" s="59" t="s">
        <v>127</v>
      </c>
      <c r="G663" s="59" t="s">
        <v>256</v>
      </c>
      <c r="H663" s="59" t="s">
        <v>259</v>
      </c>
      <c r="I663" s="116" t="s">
        <v>124</v>
      </c>
      <c r="J663" s="81">
        <v>22200</v>
      </c>
      <c r="K663" s="81"/>
      <c r="L663" s="81"/>
      <c r="M663" s="81"/>
      <c r="N663" s="81"/>
      <c r="O663" s="81"/>
      <c r="P663" s="81">
        <f>P1013</f>
        <v>22200</v>
      </c>
      <c r="Q663" s="81">
        <f t="shared" ref="Q663:U663" si="801">Q1013</f>
        <v>0</v>
      </c>
      <c r="R663" s="81">
        <f t="shared" si="801"/>
        <v>0</v>
      </c>
      <c r="S663" s="81">
        <f t="shared" si="801"/>
        <v>1168.42</v>
      </c>
      <c r="T663" s="81">
        <f t="shared" si="801"/>
        <v>0</v>
      </c>
      <c r="U663" s="81">
        <f t="shared" si="801"/>
        <v>0</v>
      </c>
      <c r="V663" s="81">
        <f t="shared" si="798"/>
        <v>23368.42</v>
      </c>
      <c r="W663" s="81">
        <f t="shared" si="798"/>
        <v>0</v>
      </c>
      <c r="X663" s="81">
        <f t="shared" si="798"/>
        <v>0</v>
      </c>
    </row>
    <row r="664" spans="1:24" ht="38.25">
      <c r="A664" s="9" t="s">
        <v>287</v>
      </c>
      <c r="B664" s="1" t="s">
        <v>402</v>
      </c>
      <c r="C664" s="59" t="s">
        <v>18</v>
      </c>
      <c r="D664" s="59" t="s">
        <v>20</v>
      </c>
      <c r="E664" s="59" t="s">
        <v>14</v>
      </c>
      <c r="F664" s="59" t="s">
        <v>70</v>
      </c>
      <c r="G664" s="59" t="s">
        <v>148</v>
      </c>
      <c r="H664" s="1" t="s">
        <v>149</v>
      </c>
      <c r="I664" s="13"/>
      <c r="J664" s="81">
        <f>J665</f>
        <v>0</v>
      </c>
      <c r="K664" s="81">
        <f t="shared" ref="K664:O666" si="802">K665</f>
        <v>0</v>
      </c>
      <c r="L664" s="81">
        <f t="shared" si="802"/>
        <v>0</v>
      </c>
      <c r="M664" s="81">
        <f t="shared" si="802"/>
        <v>105733</v>
      </c>
      <c r="N664" s="81">
        <f t="shared" si="802"/>
        <v>109962.32</v>
      </c>
      <c r="O664" s="81">
        <f t="shared" si="802"/>
        <v>114360.81</v>
      </c>
      <c r="P664" s="81">
        <f>P665</f>
        <v>105733</v>
      </c>
      <c r="Q664" s="81">
        <f t="shared" ref="Q664:U666" si="803">Q665</f>
        <v>109962.32</v>
      </c>
      <c r="R664" s="81">
        <f t="shared" si="803"/>
        <v>114360.81</v>
      </c>
      <c r="S664" s="81">
        <f t="shared" si="803"/>
        <v>0</v>
      </c>
      <c r="T664" s="81">
        <f t="shared" si="803"/>
        <v>0</v>
      </c>
      <c r="U664" s="81">
        <f t="shared" si="803"/>
        <v>0</v>
      </c>
      <c r="V664" s="81">
        <f t="shared" si="798"/>
        <v>105733</v>
      </c>
      <c r="W664" s="81">
        <f t="shared" si="798"/>
        <v>109962.32</v>
      </c>
      <c r="X664" s="81">
        <f t="shared" si="798"/>
        <v>114360.81</v>
      </c>
    </row>
    <row r="665" spans="1:24">
      <c r="A665" s="9" t="s">
        <v>369</v>
      </c>
      <c r="B665" s="1" t="s">
        <v>402</v>
      </c>
      <c r="C665" s="59" t="s">
        <v>18</v>
      </c>
      <c r="D665" s="59" t="s">
        <v>20</v>
      </c>
      <c r="E665" s="59" t="s">
        <v>14</v>
      </c>
      <c r="F665" s="59" t="s">
        <v>70</v>
      </c>
      <c r="G665" s="59" t="s">
        <v>148</v>
      </c>
      <c r="H665" s="1" t="s">
        <v>327</v>
      </c>
      <c r="I665" s="13"/>
      <c r="J665" s="81">
        <f>J666</f>
        <v>0</v>
      </c>
      <c r="K665" s="81">
        <f t="shared" si="802"/>
        <v>0</v>
      </c>
      <c r="L665" s="81">
        <f t="shared" si="802"/>
        <v>0</v>
      </c>
      <c r="M665" s="81">
        <f t="shared" si="802"/>
        <v>105733</v>
      </c>
      <c r="N665" s="81">
        <f t="shared" si="802"/>
        <v>109962.32</v>
      </c>
      <c r="O665" s="81">
        <f t="shared" si="802"/>
        <v>114360.81</v>
      </c>
      <c r="P665" s="81">
        <f>P666</f>
        <v>105733</v>
      </c>
      <c r="Q665" s="81">
        <f t="shared" si="803"/>
        <v>109962.32</v>
      </c>
      <c r="R665" s="81">
        <f t="shared" si="803"/>
        <v>114360.81</v>
      </c>
      <c r="S665" s="81">
        <f t="shared" si="803"/>
        <v>0</v>
      </c>
      <c r="T665" s="81">
        <f t="shared" si="803"/>
        <v>0</v>
      </c>
      <c r="U665" s="81">
        <f t="shared" si="803"/>
        <v>0</v>
      </c>
      <c r="V665" s="81">
        <f t="shared" si="798"/>
        <v>105733</v>
      </c>
      <c r="W665" s="81">
        <f t="shared" si="798"/>
        <v>109962.32</v>
      </c>
      <c r="X665" s="81">
        <f t="shared" si="798"/>
        <v>114360.81</v>
      </c>
    </row>
    <row r="666" spans="1:24" ht="25.5">
      <c r="A666" s="189" t="s">
        <v>260</v>
      </c>
      <c r="B666" s="1" t="s">
        <v>402</v>
      </c>
      <c r="C666" s="59" t="s">
        <v>18</v>
      </c>
      <c r="D666" s="59" t="s">
        <v>20</v>
      </c>
      <c r="E666" s="59" t="s">
        <v>14</v>
      </c>
      <c r="F666" s="59" t="s">
        <v>70</v>
      </c>
      <c r="G666" s="59" t="s">
        <v>148</v>
      </c>
      <c r="H666" s="1" t="s">
        <v>327</v>
      </c>
      <c r="I666" s="13" t="s">
        <v>94</v>
      </c>
      <c r="J666" s="81">
        <f>J667</f>
        <v>0</v>
      </c>
      <c r="K666" s="81">
        <f t="shared" si="802"/>
        <v>0</v>
      </c>
      <c r="L666" s="81">
        <f t="shared" si="802"/>
        <v>0</v>
      </c>
      <c r="M666" s="81">
        <f t="shared" si="802"/>
        <v>105733</v>
      </c>
      <c r="N666" s="81">
        <f t="shared" si="802"/>
        <v>109962.32</v>
      </c>
      <c r="O666" s="81">
        <f t="shared" si="802"/>
        <v>114360.81</v>
      </c>
      <c r="P666" s="81">
        <f>P667</f>
        <v>105733</v>
      </c>
      <c r="Q666" s="81">
        <f t="shared" si="803"/>
        <v>109962.32</v>
      </c>
      <c r="R666" s="81">
        <f t="shared" si="803"/>
        <v>114360.81</v>
      </c>
      <c r="S666" s="81">
        <f t="shared" si="803"/>
        <v>0</v>
      </c>
      <c r="T666" s="81">
        <f t="shared" si="803"/>
        <v>0</v>
      </c>
      <c r="U666" s="81">
        <f t="shared" si="803"/>
        <v>0</v>
      </c>
      <c r="V666" s="81">
        <f t="shared" si="798"/>
        <v>105733</v>
      </c>
      <c r="W666" s="81">
        <f t="shared" si="798"/>
        <v>109962.32</v>
      </c>
      <c r="X666" s="81">
        <f t="shared" si="798"/>
        <v>114360.81</v>
      </c>
    </row>
    <row r="667" spans="1:24" ht="25.5">
      <c r="A667" s="188" t="s">
        <v>98</v>
      </c>
      <c r="B667" s="1" t="s">
        <v>402</v>
      </c>
      <c r="C667" s="59" t="s">
        <v>18</v>
      </c>
      <c r="D667" s="59" t="s">
        <v>20</v>
      </c>
      <c r="E667" s="59" t="s">
        <v>14</v>
      </c>
      <c r="F667" s="59" t="s">
        <v>70</v>
      </c>
      <c r="G667" s="59" t="s">
        <v>148</v>
      </c>
      <c r="H667" s="1" t="s">
        <v>327</v>
      </c>
      <c r="I667" s="13" t="s">
        <v>95</v>
      </c>
      <c r="J667" s="81"/>
      <c r="K667" s="81"/>
      <c r="L667" s="81"/>
      <c r="M667" s="81">
        <v>105733</v>
      </c>
      <c r="N667" s="81">
        <v>109962.32</v>
      </c>
      <c r="O667" s="81">
        <v>114360.81</v>
      </c>
      <c r="P667" s="81">
        <f>P1192</f>
        <v>105733</v>
      </c>
      <c r="Q667" s="81">
        <f t="shared" ref="Q667:U667" si="804">Q1192</f>
        <v>109962.32</v>
      </c>
      <c r="R667" s="81">
        <f t="shared" si="804"/>
        <v>114360.81</v>
      </c>
      <c r="S667" s="81">
        <f t="shared" si="804"/>
        <v>0</v>
      </c>
      <c r="T667" s="81">
        <f t="shared" si="804"/>
        <v>0</v>
      </c>
      <c r="U667" s="81">
        <f t="shared" si="804"/>
        <v>0</v>
      </c>
      <c r="V667" s="81">
        <f t="shared" si="798"/>
        <v>105733</v>
      </c>
      <c r="W667" s="81">
        <f t="shared" si="798"/>
        <v>109962.32</v>
      </c>
      <c r="X667" s="81">
        <f t="shared" si="798"/>
        <v>114360.81</v>
      </c>
    </row>
    <row r="668" spans="1:24">
      <c r="A668" s="188"/>
      <c r="B668" s="1"/>
      <c r="C668" s="59"/>
      <c r="D668" s="59"/>
      <c r="E668" s="59"/>
      <c r="F668" s="59"/>
      <c r="G668" s="59"/>
      <c r="H668" s="1"/>
      <c r="I668" s="13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</row>
    <row r="669" spans="1:24">
      <c r="A669" s="62" t="s">
        <v>47</v>
      </c>
      <c r="B669" s="15" t="s">
        <v>402</v>
      </c>
      <c r="C669" s="15" t="s">
        <v>18</v>
      </c>
      <c r="D669" s="15" t="s">
        <v>17</v>
      </c>
      <c r="E669" s="15"/>
      <c r="F669" s="15"/>
      <c r="G669" s="15"/>
      <c r="H669" s="15"/>
      <c r="I669" s="26"/>
      <c r="J669" s="101">
        <f>J685+J670+J680+J689</f>
        <v>12249183</v>
      </c>
      <c r="K669" s="101">
        <f t="shared" ref="K669:O669" si="805">K685+K670+K680+K689</f>
        <v>7198522.4499999993</v>
      </c>
      <c r="L669" s="101">
        <f t="shared" si="805"/>
        <v>7412302.0999999996</v>
      </c>
      <c r="M669" s="101">
        <f t="shared" si="805"/>
        <v>0</v>
      </c>
      <c r="N669" s="101">
        <f t="shared" si="805"/>
        <v>0</v>
      </c>
      <c r="O669" s="101">
        <f t="shared" si="805"/>
        <v>0</v>
      </c>
      <c r="P669" s="101">
        <f>P670+P680+P685+P689</f>
        <v>12249183</v>
      </c>
      <c r="Q669" s="101">
        <f t="shared" ref="Q669:R669" si="806">Q670+Q680+Q685+Q689</f>
        <v>7198522.4499999993</v>
      </c>
      <c r="R669" s="101">
        <f t="shared" si="806"/>
        <v>7412302.0999999996</v>
      </c>
      <c r="S669" s="101">
        <f t="shared" ref="S669:U669" si="807">S685+S670+S680+S689</f>
        <v>-1182577.6400000001</v>
      </c>
      <c r="T669" s="101">
        <f t="shared" si="807"/>
        <v>0</v>
      </c>
      <c r="U669" s="101">
        <f t="shared" si="807"/>
        <v>0</v>
      </c>
      <c r="V669" s="101">
        <f t="shared" si="798"/>
        <v>11066605.359999999</v>
      </c>
      <c r="W669" s="101">
        <f t="shared" si="798"/>
        <v>7198522.4499999993</v>
      </c>
      <c r="X669" s="101">
        <f t="shared" si="798"/>
        <v>7412302.0999999996</v>
      </c>
    </row>
    <row r="670" spans="1:24" ht="38.25">
      <c r="A670" s="290" t="s">
        <v>286</v>
      </c>
      <c r="B670" s="59" t="s">
        <v>402</v>
      </c>
      <c r="C670" s="59" t="s">
        <v>18</v>
      </c>
      <c r="D670" s="59" t="s">
        <v>17</v>
      </c>
      <c r="E670" s="59" t="s">
        <v>3</v>
      </c>
      <c r="F670" s="59" t="s">
        <v>70</v>
      </c>
      <c r="G670" s="59" t="s">
        <v>148</v>
      </c>
      <c r="H670" s="59" t="s">
        <v>149</v>
      </c>
      <c r="I670" s="116"/>
      <c r="J670" s="81">
        <f>J671+J677</f>
        <v>4403000</v>
      </c>
      <c r="K670" s="81">
        <f t="shared" ref="K670:O670" si="808">K671+K677</f>
        <v>0</v>
      </c>
      <c r="L670" s="81">
        <f t="shared" si="808"/>
        <v>0</v>
      </c>
      <c r="M670" s="81">
        <f t="shared" si="808"/>
        <v>0</v>
      </c>
      <c r="N670" s="81">
        <f t="shared" si="808"/>
        <v>0</v>
      </c>
      <c r="O670" s="81">
        <f t="shared" si="808"/>
        <v>0</v>
      </c>
      <c r="P670" s="81">
        <f>P671+P674+P677</f>
        <v>4403000</v>
      </c>
      <c r="Q670" s="81">
        <f t="shared" ref="Q670:R670" si="809">Q671+Q674+Q677</f>
        <v>0</v>
      </c>
      <c r="R670" s="81">
        <f t="shared" si="809"/>
        <v>0</v>
      </c>
      <c r="S670" s="81">
        <f>S671+S677+S674</f>
        <v>-918577.64000000013</v>
      </c>
      <c r="T670" s="81">
        <f t="shared" ref="T670:U670" si="810">T671+T677+T674</f>
        <v>0</v>
      </c>
      <c r="U670" s="81">
        <f t="shared" si="810"/>
        <v>0</v>
      </c>
      <c r="V670" s="81">
        <f t="shared" si="798"/>
        <v>3484422.36</v>
      </c>
      <c r="W670" s="81">
        <f t="shared" si="798"/>
        <v>0</v>
      </c>
      <c r="X670" s="81">
        <f t="shared" si="798"/>
        <v>0</v>
      </c>
    </row>
    <row r="671" spans="1:24">
      <c r="A671" s="291" t="s">
        <v>356</v>
      </c>
      <c r="B671" s="59" t="s">
        <v>402</v>
      </c>
      <c r="C671" s="59" t="s">
        <v>18</v>
      </c>
      <c r="D671" s="59" t="s">
        <v>17</v>
      </c>
      <c r="E671" s="59" t="s">
        <v>3</v>
      </c>
      <c r="F671" s="59" t="s">
        <v>70</v>
      </c>
      <c r="G671" s="59" t="s">
        <v>148</v>
      </c>
      <c r="H671" s="59" t="s">
        <v>271</v>
      </c>
      <c r="I671" s="116"/>
      <c r="J671" s="81">
        <f>J672</f>
        <v>1770000</v>
      </c>
      <c r="K671" s="81">
        <f t="shared" ref="K671:O672" si="811">K672</f>
        <v>0</v>
      </c>
      <c r="L671" s="81">
        <f t="shared" si="811"/>
        <v>0</v>
      </c>
      <c r="M671" s="81">
        <f t="shared" si="811"/>
        <v>0</v>
      </c>
      <c r="N671" s="81">
        <f t="shared" si="811"/>
        <v>0</v>
      </c>
      <c r="O671" s="81">
        <f t="shared" si="811"/>
        <v>0</v>
      </c>
      <c r="P671" s="81">
        <f>P672</f>
        <v>1770000</v>
      </c>
      <c r="Q671" s="81">
        <f t="shared" ref="Q671:U672" si="812">Q672</f>
        <v>0</v>
      </c>
      <c r="R671" s="81">
        <f t="shared" si="812"/>
        <v>0</v>
      </c>
      <c r="S671" s="81">
        <f t="shared" si="812"/>
        <v>-1518577.6400000001</v>
      </c>
      <c r="T671" s="81">
        <f t="shared" si="812"/>
        <v>0</v>
      </c>
      <c r="U671" s="81">
        <f t="shared" si="812"/>
        <v>0</v>
      </c>
      <c r="V671" s="81">
        <f t="shared" si="798"/>
        <v>251422.35999999987</v>
      </c>
      <c r="W671" s="81">
        <f t="shared" si="798"/>
        <v>0</v>
      </c>
      <c r="X671" s="81">
        <f t="shared" si="798"/>
        <v>0</v>
      </c>
    </row>
    <row r="672" spans="1:24" ht="25.5">
      <c r="A672" s="209" t="s">
        <v>120</v>
      </c>
      <c r="B672" s="59" t="s">
        <v>402</v>
      </c>
      <c r="C672" s="59" t="s">
        <v>18</v>
      </c>
      <c r="D672" s="59" t="s">
        <v>17</v>
      </c>
      <c r="E672" s="59" t="s">
        <v>3</v>
      </c>
      <c r="F672" s="59" t="s">
        <v>70</v>
      </c>
      <c r="G672" s="59" t="s">
        <v>148</v>
      </c>
      <c r="H672" s="59" t="s">
        <v>271</v>
      </c>
      <c r="I672" s="116" t="s">
        <v>118</v>
      </c>
      <c r="J672" s="81">
        <f>J673</f>
        <v>1770000</v>
      </c>
      <c r="K672" s="81">
        <f t="shared" si="811"/>
        <v>0</v>
      </c>
      <c r="L672" s="81">
        <f t="shared" si="811"/>
        <v>0</v>
      </c>
      <c r="M672" s="81">
        <f t="shared" si="811"/>
        <v>0</v>
      </c>
      <c r="N672" s="81">
        <f t="shared" si="811"/>
        <v>0</v>
      </c>
      <c r="O672" s="81">
        <f t="shared" si="811"/>
        <v>0</v>
      </c>
      <c r="P672" s="81">
        <f>P673</f>
        <v>1770000</v>
      </c>
      <c r="Q672" s="81">
        <f t="shared" si="812"/>
        <v>0</v>
      </c>
      <c r="R672" s="81">
        <f t="shared" si="812"/>
        <v>0</v>
      </c>
      <c r="S672" s="81">
        <f t="shared" si="812"/>
        <v>-1518577.6400000001</v>
      </c>
      <c r="T672" s="81">
        <f t="shared" si="812"/>
        <v>0</v>
      </c>
      <c r="U672" s="81">
        <f t="shared" si="812"/>
        <v>0</v>
      </c>
      <c r="V672" s="81">
        <f t="shared" si="798"/>
        <v>251422.35999999987</v>
      </c>
      <c r="W672" s="81">
        <f t="shared" si="798"/>
        <v>0</v>
      </c>
      <c r="X672" s="81">
        <f t="shared" si="798"/>
        <v>0</v>
      </c>
    </row>
    <row r="673" spans="1:24">
      <c r="A673" s="209" t="s">
        <v>121</v>
      </c>
      <c r="B673" s="59" t="s">
        <v>402</v>
      </c>
      <c r="C673" s="59" t="s">
        <v>18</v>
      </c>
      <c r="D673" s="59" t="s">
        <v>17</v>
      </c>
      <c r="E673" s="59" t="s">
        <v>3</v>
      </c>
      <c r="F673" s="59" t="s">
        <v>70</v>
      </c>
      <c r="G673" s="59" t="s">
        <v>148</v>
      </c>
      <c r="H673" s="59" t="s">
        <v>271</v>
      </c>
      <c r="I673" s="116" t="s">
        <v>119</v>
      </c>
      <c r="J673" s="81">
        <v>1770000</v>
      </c>
      <c r="K673" s="81"/>
      <c r="L673" s="81"/>
      <c r="M673" s="81"/>
      <c r="N673" s="81"/>
      <c r="O673" s="81"/>
      <c r="P673" s="81">
        <f>P1018</f>
        <v>1770000</v>
      </c>
      <c r="Q673" s="81">
        <f t="shared" ref="Q673:U673" si="813">Q1018</f>
        <v>0</v>
      </c>
      <c r="R673" s="81">
        <f t="shared" si="813"/>
        <v>0</v>
      </c>
      <c r="S673" s="81">
        <f t="shared" si="813"/>
        <v>-1518577.6400000001</v>
      </c>
      <c r="T673" s="81">
        <f t="shared" si="813"/>
        <v>0</v>
      </c>
      <c r="U673" s="81">
        <f t="shared" si="813"/>
        <v>0</v>
      </c>
      <c r="V673" s="81">
        <f t="shared" si="798"/>
        <v>251422.35999999987</v>
      </c>
      <c r="W673" s="81">
        <f t="shared" si="798"/>
        <v>0</v>
      </c>
      <c r="X673" s="81">
        <f t="shared" si="798"/>
        <v>0</v>
      </c>
    </row>
    <row r="674" spans="1:24">
      <c r="A674" s="209" t="s">
        <v>458</v>
      </c>
      <c r="B674" s="59" t="s">
        <v>402</v>
      </c>
      <c r="C674" s="59" t="s">
        <v>18</v>
      </c>
      <c r="D674" s="59" t="s">
        <v>17</v>
      </c>
      <c r="E674" s="59" t="s">
        <v>3</v>
      </c>
      <c r="F674" s="59" t="s">
        <v>70</v>
      </c>
      <c r="G674" s="59" t="s">
        <v>148</v>
      </c>
      <c r="H674" s="59" t="s">
        <v>457</v>
      </c>
      <c r="I674" s="116"/>
      <c r="J674" s="81"/>
      <c r="K674" s="81"/>
      <c r="L674" s="81"/>
      <c r="M674" s="81"/>
      <c r="N674" s="81"/>
      <c r="O674" s="81"/>
      <c r="P674" s="81">
        <f>P675</f>
        <v>0</v>
      </c>
      <c r="Q674" s="81">
        <f t="shared" ref="Q674:R675" si="814">Q675</f>
        <v>0</v>
      </c>
      <c r="R674" s="81">
        <f t="shared" si="814"/>
        <v>0</v>
      </c>
      <c r="S674" s="81">
        <f>S675</f>
        <v>600000</v>
      </c>
      <c r="T674" s="81">
        <f t="shared" ref="T674:U675" si="815">T675</f>
        <v>0</v>
      </c>
      <c r="U674" s="81">
        <f t="shared" si="815"/>
        <v>0</v>
      </c>
      <c r="V674" s="81">
        <f t="shared" si="798"/>
        <v>600000</v>
      </c>
      <c r="W674" s="81">
        <f t="shared" si="798"/>
        <v>0</v>
      </c>
      <c r="X674" s="81">
        <f t="shared" si="798"/>
        <v>0</v>
      </c>
    </row>
    <row r="675" spans="1:24" ht="25.5">
      <c r="A675" s="189" t="s">
        <v>260</v>
      </c>
      <c r="B675" s="59" t="s">
        <v>402</v>
      </c>
      <c r="C675" s="59" t="s">
        <v>18</v>
      </c>
      <c r="D675" s="59" t="s">
        <v>17</v>
      </c>
      <c r="E675" s="59" t="s">
        <v>3</v>
      </c>
      <c r="F675" s="59" t="s">
        <v>70</v>
      </c>
      <c r="G675" s="59" t="s">
        <v>148</v>
      </c>
      <c r="H675" s="59" t="s">
        <v>457</v>
      </c>
      <c r="I675" s="116" t="s">
        <v>94</v>
      </c>
      <c r="J675" s="81"/>
      <c r="K675" s="81"/>
      <c r="L675" s="81"/>
      <c r="M675" s="81"/>
      <c r="N675" s="81"/>
      <c r="O675" s="81"/>
      <c r="P675" s="81">
        <f>P676</f>
        <v>0</v>
      </c>
      <c r="Q675" s="81">
        <f t="shared" si="814"/>
        <v>0</v>
      </c>
      <c r="R675" s="81">
        <f t="shared" si="814"/>
        <v>0</v>
      </c>
      <c r="S675" s="81">
        <f>S676</f>
        <v>600000</v>
      </c>
      <c r="T675" s="81">
        <f t="shared" si="815"/>
        <v>0</v>
      </c>
      <c r="U675" s="81">
        <f t="shared" si="815"/>
        <v>0</v>
      </c>
      <c r="V675" s="81">
        <f t="shared" si="798"/>
        <v>600000</v>
      </c>
      <c r="W675" s="81">
        <f t="shared" si="798"/>
        <v>0</v>
      </c>
      <c r="X675" s="81">
        <f t="shared" si="798"/>
        <v>0</v>
      </c>
    </row>
    <row r="676" spans="1:24" ht="25.5">
      <c r="A676" s="188" t="s">
        <v>98</v>
      </c>
      <c r="B676" s="59" t="s">
        <v>402</v>
      </c>
      <c r="C676" s="59" t="s">
        <v>18</v>
      </c>
      <c r="D676" s="59" t="s">
        <v>17</v>
      </c>
      <c r="E676" s="59" t="s">
        <v>3</v>
      </c>
      <c r="F676" s="59" t="s">
        <v>70</v>
      </c>
      <c r="G676" s="59" t="s">
        <v>148</v>
      </c>
      <c r="H676" s="59" t="s">
        <v>457</v>
      </c>
      <c r="I676" s="116" t="s">
        <v>95</v>
      </c>
      <c r="J676" s="81"/>
      <c r="K676" s="81"/>
      <c r="L676" s="81"/>
      <c r="M676" s="81"/>
      <c r="N676" s="81"/>
      <c r="O676" s="81"/>
      <c r="P676" s="81">
        <f>P1021</f>
        <v>0</v>
      </c>
      <c r="Q676" s="81">
        <f t="shared" ref="Q676:U676" si="816">Q1021</f>
        <v>0</v>
      </c>
      <c r="R676" s="81">
        <f t="shared" si="816"/>
        <v>0</v>
      </c>
      <c r="S676" s="81">
        <f t="shared" si="816"/>
        <v>600000</v>
      </c>
      <c r="T676" s="81">
        <f t="shared" si="816"/>
        <v>0</v>
      </c>
      <c r="U676" s="81">
        <f t="shared" si="816"/>
        <v>0</v>
      </c>
      <c r="V676" s="81">
        <f t="shared" si="798"/>
        <v>600000</v>
      </c>
      <c r="W676" s="81">
        <f t="shared" si="798"/>
        <v>0</v>
      </c>
      <c r="X676" s="81">
        <f t="shared" si="798"/>
        <v>0</v>
      </c>
    </row>
    <row r="677" spans="1:24" ht="25.5">
      <c r="A677" s="209" t="s">
        <v>312</v>
      </c>
      <c r="B677" s="59" t="s">
        <v>402</v>
      </c>
      <c r="C677" s="59" t="s">
        <v>18</v>
      </c>
      <c r="D677" s="59" t="s">
        <v>17</v>
      </c>
      <c r="E677" s="59" t="s">
        <v>3</v>
      </c>
      <c r="F677" s="59" t="s">
        <v>70</v>
      </c>
      <c r="G677" s="59" t="s">
        <v>148</v>
      </c>
      <c r="H677" s="59" t="s">
        <v>311</v>
      </c>
      <c r="I677" s="116"/>
      <c r="J677" s="81">
        <f>J678</f>
        <v>2633000</v>
      </c>
      <c r="K677" s="81">
        <f t="shared" ref="K677:O678" si="817">K678</f>
        <v>0</v>
      </c>
      <c r="L677" s="81">
        <f t="shared" si="817"/>
        <v>0</v>
      </c>
      <c r="M677" s="81">
        <f t="shared" si="817"/>
        <v>0</v>
      </c>
      <c r="N677" s="81">
        <f t="shared" si="817"/>
        <v>0</v>
      </c>
      <c r="O677" s="81">
        <f t="shared" si="817"/>
        <v>0</v>
      </c>
      <c r="P677" s="81">
        <f>P678</f>
        <v>2633000</v>
      </c>
      <c r="Q677" s="81">
        <f t="shared" ref="Q677:U678" si="818">Q678</f>
        <v>0</v>
      </c>
      <c r="R677" s="81">
        <f t="shared" si="818"/>
        <v>0</v>
      </c>
      <c r="S677" s="81">
        <f t="shared" si="818"/>
        <v>0</v>
      </c>
      <c r="T677" s="81">
        <f t="shared" si="818"/>
        <v>0</v>
      </c>
      <c r="U677" s="81">
        <f t="shared" si="818"/>
        <v>0</v>
      </c>
      <c r="V677" s="81">
        <f t="shared" si="798"/>
        <v>2633000</v>
      </c>
      <c r="W677" s="81">
        <f t="shared" si="798"/>
        <v>0</v>
      </c>
      <c r="X677" s="81">
        <f t="shared" si="798"/>
        <v>0</v>
      </c>
    </row>
    <row r="678" spans="1:24" ht="25.5">
      <c r="A678" s="189" t="s">
        <v>260</v>
      </c>
      <c r="B678" s="59" t="s">
        <v>402</v>
      </c>
      <c r="C678" s="59" t="s">
        <v>18</v>
      </c>
      <c r="D678" s="59" t="s">
        <v>17</v>
      </c>
      <c r="E678" s="59" t="s">
        <v>3</v>
      </c>
      <c r="F678" s="59" t="s">
        <v>70</v>
      </c>
      <c r="G678" s="59" t="s">
        <v>148</v>
      </c>
      <c r="H678" s="59" t="s">
        <v>311</v>
      </c>
      <c r="I678" s="116" t="s">
        <v>94</v>
      </c>
      <c r="J678" s="81">
        <f>J679</f>
        <v>2633000</v>
      </c>
      <c r="K678" s="81">
        <f t="shared" si="817"/>
        <v>0</v>
      </c>
      <c r="L678" s="81">
        <f t="shared" si="817"/>
        <v>0</v>
      </c>
      <c r="M678" s="81">
        <f t="shared" si="817"/>
        <v>0</v>
      </c>
      <c r="N678" s="81">
        <f t="shared" si="817"/>
        <v>0</v>
      </c>
      <c r="O678" s="81">
        <f t="shared" si="817"/>
        <v>0</v>
      </c>
      <c r="P678" s="81">
        <f>P679</f>
        <v>2633000</v>
      </c>
      <c r="Q678" s="81">
        <f t="shared" si="818"/>
        <v>0</v>
      </c>
      <c r="R678" s="81">
        <f t="shared" si="818"/>
        <v>0</v>
      </c>
      <c r="S678" s="81">
        <f t="shared" si="818"/>
        <v>0</v>
      </c>
      <c r="T678" s="81">
        <f t="shared" si="818"/>
        <v>0</v>
      </c>
      <c r="U678" s="81">
        <f t="shared" si="818"/>
        <v>0</v>
      </c>
      <c r="V678" s="81">
        <f t="shared" si="798"/>
        <v>2633000</v>
      </c>
      <c r="W678" s="81">
        <f t="shared" si="798"/>
        <v>0</v>
      </c>
      <c r="X678" s="81">
        <f t="shared" si="798"/>
        <v>0</v>
      </c>
    </row>
    <row r="679" spans="1:24" ht="25.5">
      <c r="A679" s="188" t="s">
        <v>98</v>
      </c>
      <c r="B679" s="59" t="s">
        <v>402</v>
      </c>
      <c r="C679" s="59" t="s">
        <v>18</v>
      </c>
      <c r="D679" s="59" t="s">
        <v>17</v>
      </c>
      <c r="E679" s="59" t="s">
        <v>3</v>
      </c>
      <c r="F679" s="59" t="s">
        <v>70</v>
      </c>
      <c r="G679" s="59" t="s">
        <v>148</v>
      </c>
      <c r="H679" s="59" t="s">
        <v>311</v>
      </c>
      <c r="I679" s="116" t="s">
        <v>95</v>
      </c>
      <c r="J679" s="81">
        <v>2633000</v>
      </c>
      <c r="K679" s="81"/>
      <c r="L679" s="81"/>
      <c r="M679" s="81"/>
      <c r="N679" s="81"/>
      <c r="O679" s="81"/>
      <c r="P679" s="81">
        <f>P1318+P1378+P1652</f>
        <v>2633000</v>
      </c>
      <c r="Q679" s="81">
        <f t="shared" ref="Q679:U679" si="819">Q1318+Q1378+Q1652</f>
        <v>0</v>
      </c>
      <c r="R679" s="81">
        <f t="shared" si="819"/>
        <v>0</v>
      </c>
      <c r="S679" s="81">
        <f t="shared" si="819"/>
        <v>0</v>
      </c>
      <c r="T679" s="81">
        <f t="shared" si="819"/>
        <v>0</v>
      </c>
      <c r="U679" s="81">
        <f t="shared" si="819"/>
        <v>0</v>
      </c>
      <c r="V679" s="81">
        <f t="shared" si="798"/>
        <v>2633000</v>
      </c>
      <c r="W679" s="81">
        <f t="shared" si="798"/>
        <v>0</v>
      </c>
      <c r="X679" s="81">
        <f t="shared" si="798"/>
        <v>0</v>
      </c>
    </row>
    <row r="680" spans="1:24" ht="38.25">
      <c r="A680" s="9" t="s">
        <v>289</v>
      </c>
      <c r="B680" s="59" t="s">
        <v>402</v>
      </c>
      <c r="C680" s="59" t="s">
        <v>18</v>
      </c>
      <c r="D680" s="59" t="s">
        <v>17</v>
      </c>
      <c r="E680" s="59" t="s">
        <v>27</v>
      </c>
      <c r="F680" s="59" t="s">
        <v>70</v>
      </c>
      <c r="G680" s="59" t="s">
        <v>148</v>
      </c>
      <c r="H680" s="59" t="s">
        <v>149</v>
      </c>
      <c r="I680" s="116"/>
      <c r="J680" s="81">
        <f>J681</f>
        <v>500000</v>
      </c>
      <c r="K680" s="81">
        <f t="shared" ref="K680:O683" si="820">K681</f>
        <v>0</v>
      </c>
      <c r="L680" s="81">
        <f t="shared" si="820"/>
        <v>0</v>
      </c>
      <c r="M680" s="81">
        <f t="shared" si="820"/>
        <v>0</v>
      </c>
      <c r="N680" s="81">
        <f t="shared" si="820"/>
        <v>0</v>
      </c>
      <c r="O680" s="81">
        <f t="shared" si="820"/>
        <v>0</v>
      </c>
      <c r="P680" s="81">
        <f>P681</f>
        <v>500000</v>
      </c>
      <c r="Q680" s="81">
        <f t="shared" ref="Q680:U683" si="821">Q681</f>
        <v>0</v>
      </c>
      <c r="R680" s="81">
        <f t="shared" si="821"/>
        <v>0</v>
      </c>
      <c r="S680" s="81">
        <f t="shared" si="821"/>
        <v>0</v>
      </c>
      <c r="T680" s="81">
        <f t="shared" si="821"/>
        <v>0</v>
      </c>
      <c r="U680" s="81">
        <f t="shared" si="821"/>
        <v>0</v>
      </c>
      <c r="V680" s="81">
        <f t="shared" si="798"/>
        <v>500000</v>
      </c>
      <c r="W680" s="81">
        <f t="shared" si="798"/>
        <v>0</v>
      </c>
      <c r="X680" s="81">
        <f t="shared" si="798"/>
        <v>0</v>
      </c>
    </row>
    <row r="681" spans="1:24">
      <c r="A681" s="9" t="s">
        <v>211</v>
      </c>
      <c r="B681" s="59" t="s">
        <v>402</v>
      </c>
      <c r="C681" s="59" t="s">
        <v>18</v>
      </c>
      <c r="D681" s="59" t="s">
        <v>17</v>
      </c>
      <c r="E681" s="59" t="s">
        <v>27</v>
      </c>
      <c r="F681" s="59" t="s">
        <v>44</v>
      </c>
      <c r="G681" s="59" t="s">
        <v>148</v>
      </c>
      <c r="H681" s="59" t="s">
        <v>149</v>
      </c>
      <c r="I681" s="116"/>
      <c r="J681" s="81">
        <f>J682</f>
        <v>500000</v>
      </c>
      <c r="K681" s="81">
        <f t="shared" si="820"/>
        <v>0</v>
      </c>
      <c r="L681" s="81">
        <f t="shared" si="820"/>
        <v>0</v>
      </c>
      <c r="M681" s="81">
        <f t="shared" si="820"/>
        <v>0</v>
      </c>
      <c r="N681" s="81">
        <f t="shared" si="820"/>
        <v>0</v>
      </c>
      <c r="O681" s="81">
        <f t="shared" si="820"/>
        <v>0</v>
      </c>
      <c r="P681" s="81">
        <f>P682</f>
        <v>500000</v>
      </c>
      <c r="Q681" s="81">
        <f t="shared" si="821"/>
        <v>0</v>
      </c>
      <c r="R681" s="81">
        <f t="shared" si="821"/>
        <v>0</v>
      </c>
      <c r="S681" s="81">
        <f t="shared" si="821"/>
        <v>0</v>
      </c>
      <c r="T681" s="81">
        <f t="shared" si="821"/>
        <v>0</v>
      </c>
      <c r="U681" s="81">
        <f t="shared" si="821"/>
        <v>0</v>
      </c>
      <c r="V681" s="81">
        <f t="shared" si="798"/>
        <v>500000</v>
      </c>
      <c r="W681" s="81">
        <f t="shared" si="798"/>
        <v>0</v>
      </c>
      <c r="X681" s="81">
        <f t="shared" si="798"/>
        <v>0</v>
      </c>
    </row>
    <row r="682" spans="1:24" ht="25.5">
      <c r="A682" s="9" t="s">
        <v>212</v>
      </c>
      <c r="B682" s="59" t="s">
        <v>402</v>
      </c>
      <c r="C682" s="59" t="s">
        <v>18</v>
      </c>
      <c r="D682" s="59" t="s">
        <v>17</v>
      </c>
      <c r="E682" s="59" t="s">
        <v>27</v>
      </c>
      <c r="F682" s="59" t="s">
        <v>44</v>
      </c>
      <c r="G682" s="59" t="s">
        <v>148</v>
      </c>
      <c r="H682" s="59" t="s">
        <v>213</v>
      </c>
      <c r="I682" s="116"/>
      <c r="J682" s="81">
        <f>J683</f>
        <v>500000</v>
      </c>
      <c r="K682" s="81">
        <f t="shared" si="820"/>
        <v>0</v>
      </c>
      <c r="L682" s="81">
        <f t="shared" si="820"/>
        <v>0</v>
      </c>
      <c r="M682" s="81">
        <f t="shared" si="820"/>
        <v>0</v>
      </c>
      <c r="N682" s="81">
        <f t="shared" si="820"/>
        <v>0</v>
      </c>
      <c r="O682" s="81">
        <f t="shared" si="820"/>
        <v>0</v>
      </c>
      <c r="P682" s="81">
        <f>P683</f>
        <v>500000</v>
      </c>
      <c r="Q682" s="81">
        <f t="shared" si="821"/>
        <v>0</v>
      </c>
      <c r="R682" s="81">
        <f t="shared" si="821"/>
        <v>0</v>
      </c>
      <c r="S682" s="81">
        <f t="shared" si="821"/>
        <v>0</v>
      </c>
      <c r="T682" s="81">
        <f t="shared" si="821"/>
        <v>0</v>
      </c>
      <c r="U682" s="81">
        <f t="shared" si="821"/>
        <v>0</v>
      </c>
      <c r="V682" s="81">
        <f t="shared" si="798"/>
        <v>500000</v>
      </c>
      <c r="W682" s="81">
        <f t="shared" si="798"/>
        <v>0</v>
      </c>
      <c r="X682" s="81">
        <f t="shared" si="798"/>
        <v>0</v>
      </c>
    </row>
    <row r="683" spans="1:24" ht="25.5">
      <c r="A683" s="189" t="s">
        <v>260</v>
      </c>
      <c r="B683" s="59" t="s">
        <v>402</v>
      </c>
      <c r="C683" s="59" t="s">
        <v>18</v>
      </c>
      <c r="D683" s="59" t="s">
        <v>17</v>
      </c>
      <c r="E683" s="59" t="s">
        <v>27</v>
      </c>
      <c r="F683" s="59" t="s">
        <v>44</v>
      </c>
      <c r="G683" s="59" t="s">
        <v>148</v>
      </c>
      <c r="H683" s="59" t="s">
        <v>213</v>
      </c>
      <c r="I683" s="116" t="s">
        <v>94</v>
      </c>
      <c r="J683" s="81">
        <f>J684</f>
        <v>500000</v>
      </c>
      <c r="K683" s="81">
        <f t="shared" si="820"/>
        <v>0</v>
      </c>
      <c r="L683" s="81">
        <f t="shared" si="820"/>
        <v>0</v>
      </c>
      <c r="M683" s="81">
        <f t="shared" si="820"/>
        <v>0</v>
      </c>
      <c r="N683" s="81">
        <f t="shared" si="820"/>
        <v>0</v>
      </c>
      <c r="O683" s="81">
        <f t="shared" si="820"/>
        <v>0</v>
      </c>
      <c r="P683" s="81">
        <f>P684</f>
        <v>500000</v>
      </c>
      <c r="Q683" s="81">
        <f t="shared" si="821"/>
        <v>0</v>
      </c>
      <c r="R683" s="81">
        <f t="shared" si="821"/>
        <v>0</v>
      </c>
      <c r="S683" s="81">
        <f t="shared" si="821"/>
        <v>0</v>
      </c>
      <c r="T683" s="81">
        <f t="shared" si="821"/>
        <v>0</v>
      </c>
      <c r="U683" s="81">
        <f t="shared" si="821"/>
        <v>0</v>
      </c>
      <c r="V683" s="81">
        <f t="shared" ref="V683:X710" si="822">P683+S683</f>
        <v>500000</v>
      </c>
      <c r="W683" s="81">
        <f t="shared" si="822"/>
        <v>0</v>
      </c>
      <c r="X683" s="81">
        <f t="shared" si="822"/>
        <v>0</v>
      </c>
    </row>
    <row r="684" spans="1:24" ht="25.5">
      <c r="A684" s="188" t="s">
        <v>98</v>
      </c>
      <c r="B684" s="59" t="s">
        <v>402</v>
      </c>
      <c r="C684" s="59" t="s">
        <v>18</v>
      </c>
      <c r="D684" s="59" t="s">
        <v>17</v>
      </c>
      <c r="E684" s="59" t="s">
        <v>27</v>
      </c>
      <c r="F684" s="59" t="s">
        <v>44</v>
      </c>
      <c r="G684" s="59" t="s">
        <v>148</v>
      </c>
      <c r="H684" s="59" t="s">
        <v>213</v>
      </c>
      <c r="I684" s="116" t="s">
        <v>95</v>
      </c>
      <c r="J684" s="81">
        <v>500000</v>
      </c>
      <c r="K684" s="81"/>
      <c r="L684" s="81"/>
      <c r="M684" s="81"/>
      <c r="N684" s="81"/>
      <c r="O684" s="81"/>
      <c r="P684" s="81">
        <f>P1026</f>
        <v>500000</v>
      </c>
      <c r="Q684" s="81">
        <f t="shared" ref="Q684:U684" si="823">Q1026</f>
        <v>0</v>
      </c>
      <c r="R684" s="81">
        <f t="shared" si="823"/>
        <v>0</v>
      </c>
      <c r="S684" s="81">
        <f t="shared" si="823"/>
        <v>0</v>
      </c>
      <c r="T684" s="81">
        <f t="shared" si="823"/>
        <v>0</v>
      </c>
      <c r="U684" s="81">
        <f t="shared" si="823"/>
        <v>0</v>
      </c>
      <c r="V684" s="81">
        <f t="shared" si="822"/>
        <v>500000</v>
      </c>
      <c r="W684" s="81">
        <f t="shared" si="822"/>
        <v>0</v>
      </c>
      <c r="X684" s="81">
        <f t="shared" si="822"/>
        <v>0</v>
      </c>
    </row>
    <row r="685" spans="1:24" ht="38.25">
      <c r="A685" s="9" t="s">
        <v>292</v>
      </c>
      <c r="B685" s="1" t="s">
        <v>402</v>
      </c>
      <c r="C685" s="1" t="s">
        <v>18</v>
      </c>
      <c r="D685" s="1" t="s">
        <v>17</v>
      </c>
      <c r="E685" s="1" t="s">
        <v>357</v>
      </c>
      <c r="F685" s="1" t="s">
        <v>70</v>
      </c>
      <c r="G685" s="1" t="s">
        <v>148</v>
      </c>
      <c r="H685" s="1" t="s">
        <v>149</v>
      </c>
      <c r="I685" s="13"/>
      <c r="J685" s="81">
        <f t="shared" ref="J685:O687" si="824">J686</f>
        <v>353900</v>
      </c>
      <c r="K685" s="81">
        <f t="shared" si="824"/>
        <v>0</v>
      </c>
      <c r="L685" s="81">
        <f t="shared" si="824"/>
        <v>0</v>
      </c>
      <c r="M685" s="81">
        <f t="shared" si="824"/>
        <v>0</v>
      </c>
      <c r="N685" s="81">
        <f t="shared" si="824"/>
        <v>0</v>
      </c>
      <c r="O685" s="81">
        <f t="shared" si="824"/>
        <v>0</v>
      </c>
      <c r="P685" s="81">
        <f>P686</f>
        <v>353900</v>
      </c>
      <c r="Q685" s="81">
        <f t="shared" ref="Q685:U687" si="825">Q686</f>
        <v>0</v>
      </c>
      <c r="R685" s="81">
        <f t="shared" si="825"/>
        <v>0</v>
      </c>
      <c r="S685" s="81">
        <f t="shared" si="825"/>
        <v>-264000</v>
      </c>
      <c r="T685" s="81">
        <f t="shared" si="825"/>
        <v>0</v>
      </c>
      <c r="U685" s="81">
        <f t="shared" si="825"/>
        <v>0</v>
      </c>
      <c r="V685" s="81">
        <f t="shared" si="822"/>
        <v>89900</v>
      </c>
      <c r="W685" s="81">
        <f t="shared" si="822"/>
        <v>0</v>
      </c>
      <c r="X685" s="81">
        <f t="shared" si="822"/>
        <v>0</v>
      </c>
    </row>
    <row r="686" spans="1:24">
      <c r="A686" s="188" t="s">
        <v>376</v>
      </c>
      <c r="B686" s="1" t="s">
        <v>402</v>
      </c>
      <c r="C686" s="1" t="s">
        <v>18</v>
      </c>
      <c r="D686" s="1" t="s">
        <v>17</v>
      </c>
      <c r="E686" s="1" t="s">
        <v>357</v>
      </c>
      <c r="F686" s="1" t="s">
        <v>70</v>
      </c>
      <c r="G686" s="1" t="s">
        <v>148</v>
      </c>
      <c r="H686" s="1" t="s">
        <v>225</v>
      </c>
      <c r="I686" s="13"/>
      <c r="J686" s="81">
        <f t="shared" si="824"/>
        <v>353900</v>
      </c>
      <c r="K686" s="81">
        <f t="shared" si="824"/>
        <v>0</v>
      </c>
      <c r="L686" s="81">
        <f t="shared" si="824"/>
        <v>0</v>
      </c>
      <c r="M686" s="81">
        <f t="shared" si="824"/>
        <v>0</v>
      </c>
      <c r="N686" s="81">
        <f t="shared" si="824"/>
        <v>0</v>
      </c>
      <c r="O686" s="81">
        <f t="shared" si="824"/>
        <v>0</v>
      </c>
      <c r="P686" s="81">
        <f>P687</f>
        <v>353900</v>
      </c>
      <c r="Q686" s="81">
        <f t="shared" si="825"/>
        <v>0</v>
      </c>
      <c r="R686" s="81">
        <f t="shared" si="825"/>
        <v>0</v>
      </c>
      <c r="S686" s="81">
        <f t="shared" si="825"/>
        <v>-264000</v>
      </c>
      <c r="T686" s="81">
        <f t="shared" si="825"/>
        <v>0</v>
      </c>
      <c r="U686" s="81">
        <f t="shared" si="825"/>
        <v>0</v>
      </c>
      <c r="V686" s="81">
        <f t="shared" si="822"/>
        <v>89900</v>
      </c>
      <c r="W686" s="81">
        <f t="shared" si="822"/>
        <v>0</v>
      </c>
      <c r="X686" s="81">
        <f t="shared" si="822"/>
        <v>0</v>
      </c>
    </row>
    <row r="687" spans="1:24" ht="25.5">
      <c r="A687" s="209" t="s">
        <v>120</v>
      </c>
      <c r="B687" s="1" t="s">
        <v>402</v>
      </c>
      <c r="C687" s="1" t="s">
        <v>18</v>
      </c>
      <c r="D687" s="1" t="s">
        <v>17</v>
      </c>
      <c r="E687" s="1" t="s">
        <v>357</v>
      </c>
      <c r="F687" s="1" t="s">
        <v>70</v>
      </c>
      <c r="G687" s="1" t="s">
        <v>148</v>
      </c>
      <c r="H687" s="1" t="s">
        <v>225</v>
      </c>
      <c r="I687" s="13" t="s">
        <v>118</v>
      </c>
      <c r="J687" s="81">
        <f t="shared" si="824"/>
        <v>353900</v>
      </c>
      <c r="K687" s="81">
        <f t="shared" si="824"/>
        <v>0</v>
      </c>
      <c r="L687" s="81">
        <f t="shared" si="824"/>
        <v>0</v>
      </c>
      <c r="M687" s="81">
        <f t="shared" si="824"/>
        <v>0</v>
      </c>
      <c r="N687" s="81">
        <f t="shared" si="824"/>
        <v>0</v>
      </c>
      <c r="O687" s="81">
        <f t="shared" si="824"/>
        <v>0</v>
      </c>
      <c r="P687" s="81">
        <f>P688</f>
        <v>353900</v>
      </c>
      <c r="Q687" s="81">
        <f t="shared" si="825"/>
        <v>0</v>
      </c>
      <c r="R687" s="81">
        <f t="shared" si="825"/>
        <v>0</v>
      </c>
      <c r="S687" s="81">
        <f t="shared" si="825"/>
        <v>-264000</v>
      </c>
      <c r="T687" s="81">
        <f t="shared" si="825"/>
        <v>0</v>
      </c>
      <c r="U687" s="81">
        <f t="shared" si="825"/>
        <v>0</v>
      </c>
      <c r="V687" s="81">
        <f t="shared" si="822"/>
        <v>89900</v>
      </c>
      <c r="W687" s="81">
        <f t="shared" si="822"/>
        <v>0</v>
      </c>
      <c r="X687" s="81">
        <f t="shared" si="822"/>
        <v>0</v>
      </c>
    </row>
    <row r="688" spans="1:24">
      <c r="A688" s="209" t="s">
        <v>121</v>
      </c>
      <c r="B688" s="1" t="s">
        <v>402</v>
      </c>
      <c r="C688" s="1" t="s">
        <v>18</v>
      </c>
      <c r="D688" s="1" t="s">
        <v>17</v>
      </c>
      <c r="E688" s="1" t="s">
        <v>357</v>
      </c>
      <c r="F688" s="1" t="s">
        <v>70</v>
      </c>
      <c r="G688" s="1" t="s">
        <v>148</v>
      </c>
      <c r="H688" s="1" t="s">
        <v>225</v>
      </c>
      <c r="I688" s="13" t="s">
        <v>119</v>
      </c>
      <c r="J688" s="81">
        <v>353900</v>
      </c>
      <c r="K688" s="81"/>
      <c r="L688" s="81"/>
      <c r="M688" s="81"/>
      <c r="N688" s="81"/>
      <c r="O688" s="81"/>
      <c r="P688" s="81">
        <f>P1030</f>
        <v>353900</v>
      </c>
      <c r="Q688" s="81">
        <f t="shared" ref="Q688:U688" si="826">Q1030</f>
        <v>0</v>
      </c>
      <c r="R688" s="81">
        <f t="shared" si="826"/>
        <v>0</v>
      </c>
      <c r="S688" s="81">
        <f t="shared" si="826"/>
        <v>-264000</v>
      </c>
      <c r="T688" s="81">
        <f t="shared" si="826"/>
        <v>0</v>
      </c>
      <c r="U688" s="81">
        <f t="shared" si="826"/>
        <v>0</v>
      </c>
      <c r="V688" s="81">
        <f t="shared" si="822"/>
        <v>89900</v>
      </c>
      <c r="W688" s="81">
        <f t="shared" si="822"/>
        <v>0</v>
      </c>
      <c r="X688" s="81">
        <f t="shared" si="822"/>
        <v>0</v>
      </c>
    </row>
    <row r="689" spans="1:24">
      <c r="A689" s="9" t="s">
        <v>83</v>
      </c>
      <c r="B689" s="1" t="s">
        <v>402</v>
      </c>
      <c r="C689" s="1" t="s">
        <v>18</v>
      </c>
      <c r="D689" s="1" t="s">
        <v>17</v>
      </c>
      <c r="E689" s="1" t="s">
        <v>82</v>
      </c>
      <c r="F689" s="1" t="s">
        <v>70</v>
      </c>
      <c r="G689" s="1" t="s">
        <v>148</v>
      </c>
      <c r="H689" s="1" t="s">
        <v>149</v>
      </c>
      <c r="I689" s="13"/>
      <c r="J689" s="81">
        <f>J690+J693</f>
        <v>6992283</v>
      </c>
      <c r="K689" s="81">
        <f t="shared" ref="K689:O689" si="827">K690+K693</f>
        <v>7198522.4499999993</v>
      </c>
      <c r="L689" s="81">
        <f t="shared" si="827"/>
        <v>7412302.0999999996</v>
      </c>
      <c r="M689" s="81">
        <f t="shared" si="827"/>
        <v>0</v>
      </c>
      <c r="N689" s="81">
        <f t="shared" si="827"/>
        <v>0</v>
      </c>
      <c r="O689" s="81">
        <f t="shared" si="827"/>
        <v>0</v>
      </c>
      <c r="P689" s="81">
        <f>P690+P693</f>
        <v>6992283</v>
      </c>
      <c r="Q689" s="81">
        <f t="shared" ref="Q689:U689" si="828">Q690+Q693</f>
        <v>7198522.4499999993</v>
      </c>
      <c r="R689" s="81">
        <f t="shared" si="828"/>
        <v>7412302.0999999996</v>
      </c>
      <c r="S689" s="81">
        <f t="shared" si="828"/>
        <v>0</v>
      </c>
      <c r="T689" s="81">
        <f t="shared" si="828"/>
        <v>0</v>
      </c>
      <c r="U689" s="81">
        <f t="shared" si="828"/>
        <v>0</v>
      </c>
      <c r="V689" s="81">
        <f t="shared" si="822"/>
        <v>6992283</v>
      </c>
      <c r="W689" s="81">
        <f t="shared" si="822"/>
        <v>7198522.4499999993</v>
      </c>
      <c r="X689" s="81">
        <f t="shared" si="822"/>
        <v>7412302.0999999996</v>
      </c>
    </row>
    <row r="690" spans="1:24">
      <c r="A690" s="9" t="s">
        <v>346</v>
      </c>
      <c r="B690" s="1" t="s">
        <v>402</v>
      </c>
      <c r="C690" s="1" t="s">
        <v>18</v>
      </c>
      <c r="D690" s="1" t="s">
        <v>17</v>
      </c>
      <c r="E690" s="1" t="s">
        <v>82</v>
      </c>
      <c r="F690" s="1" t="s">
        <v>70</v>
      </c>
      <c r="G690" s="1" t="s">
        <v>148</v>
      </c>
      <c r="H690" s="1" t="s">
        <v>345</v>
      </c>
      <c r="I690" s="13"/>
      <c r="J690" s="81">
        <f>J691</f>
        <v>5524518</v>
      </c>
      <c r="K690" s="81">
        <f t="shared" ref="K690:O691" si="829">K691</f>
        <v>5675926.8499999996</v>
      </c>
      <c r="L690" s="81">
        <f t="shared" si="829"/>
        <v>5832682.6799999997</v>
      </c>
      <c r="M690" s="81">
        <f t="shared" si="829"/>
        <v>0</v>
      </c>
      <c r="N690" s="81">
        <f t="shared" si="829"/>
        <v>0</v>
      </c>
      <c r="O690" s="81">
        <f t="shared" si="829"/>
        <v>0</v>
      </c>
      <c r="P690" s="81">
        <f>P691</f>
        <v>5524518</v>
      </c>
      <c r="Q690" s="81">
        <f t="shared" ref="Q690:U691" si="830">Q691</f>
        <v>5675926.8499999996</v>
      </c>
      <c r="R690" s="81">
        <f t="shared" si="830"/>
        <v>5832682.6799999997</v>
      </c>
      <c r="S690" s="81">
        <f t="shared" si="830"/>
        <v>0</v>
      </c>
      <c r="T690" s="81">
        <f t="shared" si="830"/>
        <v>0</v>
      </c>
      <c r="U690" s="81">
        <f t="shared" si="830"/>
        <v>0</v>
      </c>
      <c r="V690" s="81">
        <f t="shared" si="822"/>
        <v>5524518</v>
      </c>
      <c r="W690" s="81">
        <f t="shared" si="822"/>
        <v>5675926.8499999996</v>
      </c>
      <c r="X690" s="81">
        <f t="shared" si="822"/>
        <v>5832682.6799999997</v>
      </c>
    </row>
    <row r="691" spans="1:24" ht="25.5">
      <c r="A691" s="209" t="s">
        <v>72</v>
      </c>
      <c r="B691" s="1" t="s">
        <v>402</v>
      </c>
      <c r="C691" s="1" t="s">
        <v>18</v>
      </c>
      <c r="D691" s="1" t="s">
        <v>17</v>
      </c>
      <c r="E691" s="1" t="s">
        <v>82</v>
      </c>
      <c r="F691" s="1" t="s">
        <v>70</v>
      </c>
      <c r="G691" s="1" t="s">
        <v>148</v>
      </c>
      <c r="H691" s="1" t="s">
        <v>345</v>
      </c>
      <c r="I691" s="13" t="s">
        <v>71</v>
      </c>
      <c r="J691" s="81">
        <f>J692</f>
        <v>5524518</v>
      </c>
      <c r="K691" s="81">
        <f t="shared" si="829"/>
        <v>5675926.8499999996</v>
      </c>
      <c r="L691" s="81">
        <f t="shared" si="829"/>
        <v>5832682.6799999997</v>
      </c>
      <c r="M691" s="81">
        <f t="shared" si="829"/>
        <v>0</v>
      </c>
      <c r="N691" s="81">
        <f t="shared" si="829"/>
        <v>0</v>
      </c>
      <c r="O691" s="81">
        <f t="shared" si="829"/>
        <v>0</v>
      </c>
      <c r="P691" s="81">
        <f>P692</f>
        <v>5524518</v>
      </c>
      <c r="Q691" s="81">
        <f t="shared" si="830"/>
        <v>5675926.8499999996</v>
      </c>
      <c r="R691" s="81">
        <f t="shared" si="830"/>
        <v>5832682.6799999997</v>
      </c>
      <c r="S691" s="81">
        <f t="shared" si="830"/>
        <v>0</v>
      </c>
      <c r="T691" s="81">
        <f t="shared" si="830"/>
        <v>0</v>
      </c>
      <c r="U691" s="81">
        <f t="shared" si="830"/>
        <v>0</v>
      </c>
      <c r="V691" s="81">
        <f t="shared" si="822"/>
        <v>5524518</v>
      </c>
      <c r="W691" s="81">
        <f t="shared" si="822"/>
        <v>5675926.8499999996</v>
      </c>
      <c r="X691" s="81">
        <f t="shared" si="822"/>
        <v>5832682.6799999997</v>
      </c>
    </row>
    <row r="692" spans="1:24">
      <c r="A692" s="9" t="s">
        <v>249</v>
      </c>
      <c r="B692" s="1" t="s">
        <v>402</v>
      </c>
      <c r="C692" s="1" t="s">
        <v>18</v>
      </c>
      <c r="D692" s="1" t="s">
        <v>17</v>
      </c>
      <c r="E692" s="1" t="s">
        <v>82</v>
      </c>
      <c r="F692" s="1" t="s">
        <v>70</v>
      </c>
      <c r="G692" s="1" t="s">
        <v>148</v>
      </c>
      <c r="H692" s="1" t="s">
        <v>345</v>
      </c>
      <c r="I692" s="13" t="s">
        <v>246</v>
      </c>
      <c r="J692" s="81">
        <v>5524518</v>
      </c>
      <c r="K692" s="81">
        <v>5675926.8499999996</v>
      </c>
      <c r="L692" s="81">
        <v>5832682.6799999997</v>
      </c>
      <c r="M692" s="81"/>
      <c r="N692" s="81"/>
      <c r="O692" s="81"/>
      <c r="P692" s="81">
        <f>P1034</f>
        <v>5524518</v>
      </c>
      <c r="Q692" s="81">
        <f t="shared" ref="Q692:U692" si="831">Q1034</f>
        <v>5675926.8499999996</v>
      </c>
      <c r="R692" s="81">
        <f t="shared" si="831"/>
        <v>5832682.6799999997</v>
      </c>
      <c r="S692" s="81">
        <f t="shared" si="831"/>
        <v>0</v>
      </c>
      <c r="T692" s="81">
        <f t="shared" si="831"/>
        <v>0</v>
      </c>
      <c r="U692" s="81">
        <f t="shared" si="831"/>
        <v>0</v>
      </c>
      <c r="V692" s="81">
        <f t="shared" si="822"/>
        <v>5524518</v>
      </c>
      <c r="W692" s="81">
        <f t="shared" si="822"/>
        <v>5675926.8499999996</v>
      </c>
      <c r="X692" s="81">
        <f t="shared" si="822"/>
        <v>5832682.6799999997</v>
      </c>
    </row>
    <row r="693" spans="1:24">
      <c r="A693" s="209" t="s">
        <v>359</v>
      </c>
      <c r="B693" s="1" t="s">
        <v>402</v>
      </c>
      <c r="C693" s="1" t="s">
        <v>18</v>
      </c>
      <c r="D693" s="1" t="s">
        <v>17</v>
      </c>
      <c r="E693" s="1" t="s">
        <v>82</v>
      </c>
      <c r="F693" s="1" t="s">
        <v>70</v>
      </c>
      <c r="G693" s="1" t="s">
        <v>148</v>
      </c>
      <c r="H693" s="1" t="s">
        <v>358</v>
      </c>
      <c r="I693" s="13"/>
      <c r="J693" s="81">
        <f>J694</f>
        <v>1467765</v>
      </c>
      <c r="K693" s="81">
        <f t="shared" ref="K693:O694" si="832">K694</f>
        <v>1522595.6</v>
      </c>
      <c r="L693" s="81">
        <f t="shared" si="832"/>
        <v>1579619.42</v>
      </c>
      <c r="M693" s="81">
        <f t="shared" si="832"/>
        <v>0</v>
      </c>
      <c r="N693" s="81">
        <f t="shared" si="832"/>
        <v>0</v>
      </c>
      <c r="O693" s="81">
        <f t="shared" si="832"/>
        <v>0</v>
      </c>
      <c r="P693" s="81">
        <f>P694</f>
        <v>1467765</v>
      </c>
      <c r="Q693" s="81">
        <f t="shared" ref="Q693:U694" si="833">Q694</f>
        <v>1522595.6</v>
      </c>
      <c r="R693" s="81">
        <f t="shared" si="833"/>
        <v>1579619.42</v>
      </c>
      <c r="S693" s="81">
        <f t="shared" si="833"/>
        <v>0</v>
      </c>
      <c r="T693" s="81">
        <f t="shared" si="833"/>
        <v>0</v>
      </c>
      <c r="U693" s="81">
        <f t="shared" si="833"/>
        <v>0</v>
      </c>
      <c r="V693" s="81">
        <f t="shared" si="822"/>
        <v>1467765</v>
      </c>
      <c r="W693" s="81">
        <f t="shared" si="822"/>
        <v>1522595.6</v>
      </c>
      <c r="X693" s="81">
        <f t="shared" si="822"/>
        <v>1579619.42</v>
      </c>
    </row>
    <row r="694" spans="1:24" ht="25.5">
      <c r="A694" s="189" t="s">
        <v>260</v>
      </c>
      <c r="B694" s="1" t="s">
        <v>402</v>
      </c>
      <c r="C694" s="1" t="s">
        <v>18</v>
      </c>
      <c r="D694" s="1" t="s">
        <v>17</v>
      </c>
      <c r="E694" s="1" t="s">
        <v>82</v>
      </c>
      <c r="F694" s="1" t="s">
        <v>70</v>
      </c>
      <c r="G694" s="1" t="s">
        <v>148</v>
      </c>
      <c r="H694" s="1" t="s">
        <v>358</v>
      </c>
      <c r="I694" s="13" t="s">
        <v>94</v>
      </c>
      <c r="J694" s="81">
        <f>J695</f>
        <v>1467765</v>
      </c>
      <c r="K694" s="81">
        <f t="shared" si="832"/>
        <v>1522595.6</v>
      </c>
      <c r="L694" s="81">
        <f t="shared" si="832"/>
        <v>1579619.42</v>
      </c>
      <c r="M694" s="81">
        <f t="shared" si="832"/>
        <v>0</v>
      </c>
      <c r="N694" s="81">
        <f t="shared" si="832"/>
        <v>0</v>
      </c>
      <c r="O694" s="81">
        <f t="shared" si="832"/>
        <v>0</v>
      </c>
      <c r="P694" s="81">
        <f>P695</f>
        <v>1467765</v>
      </c>
      <c r="Q694" s="81">
        <f t="shared" si="833"/>
        <v>1522595.6</v>
      </c>
      <c r="R694" s="81">
        <f t="shared" si="833"/>
        <v>1579619.42</v>
      </c>
      <c r="S694" s="81">
        <f t="shared" si="833"/>
        <v>0</v>
      </c>
      <c r="T694" s="81">
        <f t="shared" si="833"/>
        <v>0</v>
      </c>
      <c r="U694" s="81">
        <f t="shared" si="833"/>
        <v>0</v>
      </c>
      <c r="V694" s="81">
        <f t="shared" si="822"/>
        <v>1467765</v>
      </c>
      <c r="W694" s="81">
        <f t="shared" si="822"/>
        <v>1522595.6</v>
      </c>
      <c r="X694" s="81">
        <f t="shared" si="822"/>
        <v>1579619.42</v>
      </c>
    </row>
    <row r="695" spans="1:24" ht="25.5">
      <c r="A695" s="188" t="s">
        <v>98</v>
      </c>
      <c r="B695" s="1" t="s">
        <v>402</v>
      </c>
      <c r="C695" s="1" t="s">
        <v>18</v>
      </c>
      <c r="D695" s="1" t="s">
        <v>17</v>
      </c>
      <c r="E695" s="1" t="s">
        <v>82</v>
      </c>
      <c r="F695" s="1" t="s">
        <v>70</v>
      </c>
      <c r="G695" s="1" t="s">
        <v>148</v>
      </c>
      <c r="H695" s="1" t="s">
        <v>358</v>
      </c>
      <c r="I695" s="13" t="s">
        <v>95</v>
      </c>
      <c r="J695" s="81">
        <f>682500+785265</f>
        <v>1467765</v>
      </c>
      <c r="K695" s="81">
        <f>709800+812795.6</f>
        <v>1522595.6</v>
      </c>
      <c r="L695" s="81">
        <f>738192+841427.42</f>
        <v>1579619.42</v>
      </c>
      <c r="M695" s="81"/>
      <c r="N695" s="81"/>
      <c r="O695" s="81"/>
      <c r="P695" s="81">
        <f>P1037+P1197+P1382+P1602+P1656</f>
        <v>1467765</v>
      </c>
      <c r="Q695" s="81">
        <f t="shared" ref="Q695:U695" si="834">Q1037+Q1197+Q1382+Q1602+Q1656</f>
        <v>1522595.6</v>
      </c>
      <c r="R695" s="81">
        <f t="shared" si="834"/>
        <v>1579619.42</v>
      </c>
      <c r="S695" s="81">
        <f t="shared" si="834"/>
        <v>0</v>
      </c>
      <c r="T695" s="81">
        <f t="shared" si="834"/>
        <v>0</v>
      </c>
      <c r="U695" s="81">
        <f t="shared" si="834"/>
        <v>0</v>
      </c>
      <c r="V695" s="81">
        <f t="shared" si="822"/>
        <v>1467765</v>
      </c>
      <c r="W695" s="81">
        <f t="shared" si="822"/>
        <v>1522595.6</v>
      </c>
      <c r="X695" s="81">
        <f t="shared" si="822"/>
        <v>1579619.42</v>
      </c>
    </row>
    <row r="696" spans="1:24">
      <c r="A696" s="188"/>
      <c r="B696" s="1"/>
      <c r="C696" s="1"/>
      <c r="D696" s="1"/>
      <c r="E696" s="1"/>
      <c r="F696" s="1"/>
      <c r="G696" s="1"/>
      <c r="H696" s="1"/>
      <c r="I696" s="13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</row>
    <row r="697" spans="1:24" s="121" customFormat="1">
      <c r="A697" s="62" t="s">
        <v>68</v>
      </c>
      <c r="B697" s="14" t="s">
        <v>402</v>
      </c>
      <c r="C697" s="14" t="s">
        <v>18</v>
      </c>
      <c r="D697" s="14" t="s">
        <v>13</v>
      </c>
      <c r="E697" s="14"/>
      <c r="F697" s="14"/>
      <c r="G697" s="14"/>
      <c r="H697" s="14"/>
      <c r="I697" s="28"/>
      <c r="J697" s="101">
        <f>J698+J715+J702</f>
        <v>25777502</v>
      </c>
      <c r="K697" s="101">
        <f>K698+K715+K702</f>
        <v>18626702.130000003</v>
      </c>
      <c r="L697" s="101">
        <f>L698+L715+L702</f>
        <v>18339840.830000002</v>
      </c>
      <c r="M697" s="101">
        <f t="shared" ref="M697:O697" si="835">M698+M715+M702</f>
        <v>3945037.67</v>
      </c>
      <c r="N697" s="101">
        <f t="shared" si="835"/>
        <v>2228470.13</v>
      </c>
      <c r="O697" s="101">
        <f t="shared" si="835"/>
        <v>0</v>
      </c>
      <c r="P697" s="101">
        <f>P698+P702+P715</f>
        <v>29722539.670000002</v>
      </c>
      <c r="Q697" s="101">
        <f t="shared" ref="Q697:R697" si="836">Q698+Q702+Q715</f>
        <v>20855172.260000002</v>
      </c>
      <c r="R697" s="101">
        <f t="shared" si="836"/>
        <v>18339840.830000002</v>
      </c>
      <c r="S697" s="101">
        <f t="shared" ref="S697:U697" si="837">S698+S715+S702</f>
        <v>1320428.9500000002</v>
      </c>
      <c r="T697" s="101">
        <f t="shared" si="837"/>
        <v>0</v>
      </c>
      <c r="U697" s="101">
        <f t="shared" si="837"/>
        <v>0</v>
      </c>
      <c r="V697" s="101">
        <f t="shared" si="822"/>
        <v>31042968.620000001</v>
      </c>
      <c r="W697" s="101">
        <f t="shared" si="822"/>
        <v>20855172.260000002</v>
      </c>
      <c r="X697" s="101">
        <f t="shared" si="822"/>
        <v>18339840.830000002</v>
      </c>
    </row>
    <row r="698" spans="1:24" ht="38.25">
      <c r="A698" s="290" t="s">
        <v>286</v>
      </c>
      <c r="B698" s="1" t="s">
        <v>402</v>
      </c>
      <c r="C698" s="1" t="s">
        <v>18</v>
      </c>
      <c r="D698" s="1" t="s">
        <v>13</v>
      </c>
      <c r="E698" s="1" t="s">
        <v>3</v>
      </c>
      <c r="F698" s="1" t="s">
        <v>70</v>
      </c>
      <c r="G698" s="1" t="s">
        <v>148</v>
      </c>
      <c r="H698" s="1" t="s">
        <v>149</v>
      </c>
      <c r="I698" s="13"/>
      <c r="J698" s="81">
        <f>J699</f>
        <v>7116000</v>
      </c>
      <c r="K698" s="81">
        <f t="shared" ref="K698:O700" si="838">K699</f>
        <v>0</v>
      </c>
      <c r="L698" s="81">
        <f t="shared" si="838"/>
        <v>0</v>
      </c>
      <c r="M698" s="81">
        <f t="shared" si="838"/>
        <v>0</v>
      </c>
      <c r="N698" s="81">
        <f t="shared" si="838"/>
        <v>0</v>
      </c>
      <c r="O698" s="81">
        <f t="shared" si="838"/>
        <v>0</v>
      </c>
      <c r="P698" s="81">
        <f>P699</f>
        <v>7116000</v>
      </c>
      <c r="Q698" s="81">
        <f t="shared" ref="Q698:U700" si="839">Q699</f>
        <v>0</v>
      </c>
      <c r="R698" s="81">
        <f t="shared" si="839"/>
        <v>0</v>
      </c>
      <c r="S698" s="81">
        <f t="shared" si="839"/>
        <v>0</v>
      </c>
      <c r="T698" s="81">
        <f t="shared" si="839"/>
        <v>0</v>
      </c>
      <c r="U698" s="81">
        <f t="shared" si="839"/>
        <v>0</v>
      </c>
      <c r="V698" s="81">
        <f t="shared" si="822"/>
        <v>7116000</v>
      </c>
      <c r="W698" s="81">
        <f t="shared" si="822"/>
        <v>0</v>
      </c>
      <c r="X698" s="81">
        <f t="shared" si="822"/>
        <v>0</v>
      </c>
    </row>
    <row r="699" spans="1:24" ht="25.5">
      <c r="A699" s="209" t="s">
        <v>312</v>
      </c>
      <c r="B699" s="1" t="s">
        <v>402</v>
      </c>
      <c r="C699" s="1" t="s">
        <v>18</v>
      </c>
      <c r="D699" s="1" t="s">
        <v>13</v>
      </c>
      <c r="E699" s="1" t="s">
        <v>3</v>
      </c>
      <c r="F699" s="1" t="s">
        <v>70</v>
      </c>
      <c r="G699" s="1" t="s">
        <v>148</v>
      </c>
      <c r="H699" s="1" t="s">
        <v>311</v>
      </c>
      <c r="I699" s="13"/>
      <c r="J699" s="81">
        <f>J700</f>
        <v>7116000</v>
      </c>
      <c r="K699" s="81">
        <f t="shared" si="838"/>
        <v>0</v>
      </c>
      <c r="L699" s="81">
        <f t="shared" si="838"/>
        <v>0</v>
      </c>
      <c r="M699" s="81">
        <f t="shared" si="838"/>
        <v>0</v>
      </c>
      <c r="N699" s="81">
        <f t="shared" si="838"/>
        <v>0</v>
      </c>
      <c r="O699" s="81">
        <f t="shared" si="838"/>
        <v>0</v>
      </c>
      <c r="P699" s="81">
        <f>P700</f>
        <v>7116000</v>
      </c>
      <c r="Q699" s="81">
        <f t="shared" si="839"/>
        <v>0</v>
      </c>
      <c r="R699" s="81">
        <f t="shared" si="839"/>
        <v>0</v>
      </c>
      <c r="S699" s="81">
        <f t="shared" si="839"/>
        <v>0</v>
      </c>
      <c r="T699" s="81">
        <f t="shared" si="839"/>
        <v>0</v>
      </c>
      <c r="U699" s="81">
        <f t="shared" si="839"/>
        <v>0</v>
      </c>
      <c r="V699" s="81">
        <f t="shared" si="822"/>
        <v>7116000</v>
      </c>
      <c r="W699" s="81">
        <f t="shared" si="822"/>
        <v>0</v>
      </c>
      <c r="X699" s="81">
        <f t="shared" si="822"/>
        <v>0</v>
      </c>
    </row>
    <row r="700" spans="1:24" ht="25.5">
      <c r="A700" s="189" t="s">
        <v>260</v>
      </c>
      <c r="B700" s="1" t="s">
        <v>402</v>
      </c>
      <c r="C700" s="1" t="s">
        <v>18</v>
      </c>
      <c r="D700" s="1" t="s">
        <v>13</v>
      </c>
      <c r="E700" s="1" t="s">
        <v>3</v>
      </c>
      <c r="F700" s="1" t="s">
        <v>70</v>
      </c>
      <c r="G700" s="1" t="s">
        <v>148</v>
      </c>
      <c r="H700" s="1" t="s">
        <v>311</v>
      </c>
      <c r="I700" s="13" t="s">
        <v>94</v>
      </c>
      <c r="J700" s="81">
        <f>J701</f>
        <v>7116000</v>
      </c>
      <c r="K700" s="81">
        <f t="shared" si="838"/>
        <v>0</v>
      </c>
      <c r="L700" s="81">
        <f t="shared" si="838"/>
        <v>0</v>
      </c>
      <c r="M700" s="81">
        <f t="shared" si="838"/>
        <v>0</v>
      </c>
      <c r="N700" s="81">
        <f t="shared" si="838"/>
        <v>0</v>
      </c>
      <c r="O700" s="81">
        <f t="shared" si="838"/>
        <v>0</v>
      </c>
      <c r="P700" s="81">
        <f>P701</f>
        <v>7116000</v>
      </c>
      <c r="Q700" s="81">
        <f t="shared" si="839"/>
        <v>0</v>
      </c>
      <c r="R700" s="81">
        <f t="shared" si="839"/>
        <v>0</v>
      </c>
      <c r="S700" s="81">
        <f t="shared" si="839"/>
        <v>0</v>
      </c>
      <c r="T700" s="81">
        <f t="shared" si="839"/>
        <v>0</v>
      </c>
      <c r="U700" s="81">
        <f t="shared" si="839"/>
        <v>0</v>
      </c>
      <c r="V700" s="81">
        <f t="shared" si="822"/>
        <v>7116000</v>
      </c>
      <c r="W700" s="81">
        <f t="shared" si="822"/>
        <v>0</v>
      </c>
      <c r="X700" s="81">
        <f t="shared" si="822"/>
        <v>0</v>
      </c>
    </row>
    <row r="701" spans="1:24" ht="25.5">
      <c r="A701" s="188" t="s">
        <v>98</v>
      </c>
      <c r="B701" s="1" t="s">
        <v>402</v>
      </c>
      <c r="C701" s="1" t="s">
        <v>18</v>
      </c>
      <c r="D701" s="1" t="s">
        <v>13</v>
      </c>
      <c r="E701" s="1" t="s">
        <v>3</v>
      </c>
      <c r="F701" s="1" t="s">
        <v>70</v>
      </c>
      <c r="G701" s="1" t="s">
        <v>148</v>
      </c>
      <c r="H701" s="1" t="s">
        <v>311</v>
      </c>
      <c r="I701" s="13" t="s">
        <v>95</v>
      </c>
      <c r="J701" s="81">
        <v>7116000</v>
      </c>
      <c r="K701" s="81"/>
      <c r="L701" s="81"/>
      <c r="M701" s="81"/>
      <c r="N701" s="81"/>
      <c r="O701" s="81"/>
      <c r="P701" s="81">
        <f>P1323+P1387+P1445+P1494+P1555+P1607+P1661</f>
        <v>7116000</v>
      </c>
      <c r="Q701" s="81">
        <f t="shared" ref="Q701:U701" si="840">Q1323+Q1387+Q1445+Q1494+Q1555+Q1607+Q1661</f>
        <v>0</v>
      </c>
      <c r="R701" s="81">
        <f t="shared" si="840"/>
        <v>0</v>
      </c>
      <c r="S701" s="81">
        <f t="shared" si="840"/>
        <v>0</v>
      </c>
      <c r="T701" s="81">
        <f t="shared" si="840"/>
        <v>0</v>
      </c>
      <c r="U701" s="81">
        <f t="shared" si="840"/>
        <v>0</v>
      </c>
      <c r="V701" s="81">
        <f t="shared" si="822"/>
        <v>7116000</v>
      </c>
      <c r="W701" s="81">
        <f t="shared" si="822"/>
        <v>0</v>
      </c>
      <c r="X701" s="81">
        <f t="shared" si="822"/>
        <v>0</v>
      </c>
    </row>
    <row r="702" spans="1:24" ht="38.25">
      <c r="A702" s="188" t="s">
        <v>365</v>
      </c>
      <c r="B702" s="1" t="s">
        <v>402</v>
      </c>
      <c r="C702" s="1" t="s">
        <v>18</v>
      </c>
      <c r="D702" s="1" t="s">
        <v>13</v>
      </c>
      <c r="E702" s="1" t="s">
        <v>363</v>
      </c>
      <c r="F702" s="1" t="s">
        <v>70</v>
      </c>
      <c r="G702" s="1" t="s">
        <v>148</v>
      </c>
      <c r="H702" s="1" t="s">
        <v>149</v>
      </c>
      <c r="I702" s="13"/>
      <c r="J702" s="81">
        <f>J706+J712+J703</f>
        <v>490983</v>
      </c>
      <c r="K702" s="81">
        <f t="shared" ref="K702:O702" si="841">K706+K712+K703</f>
        <v>252499</v>
      </c>
      <c r="L702" s="81">
        <f t="shared" si="841"/>
        <v>252499</v>
      </c>
      <c r="M702" s="81">
        <f>M706+M712+M703</f>
        <v>3445037.67</v>
      </c>
      <c r="N702" s="81">
        <f t="shared" si="841"/>
        <v>2228470.13</v>
      </c>
      <c r="O702" s="81">
        <f t="shared" si="841"/>
        <v>0</v>
      </c>
      <c r="P702" s="81">
        <f>P703+P706+P709+P712</f>
        <v>3936020.67</v>
      </c>
      <c r="Q702" s="81">
        <f t="shared" ref="Q702:R702" si="842">Q703+Q706+Q709+Q712</f>
        <v>2480969.13</v>
      </c>
      <c r="R702" s="81">
        <f t="shared" si="842"/>
        <v>252499</v>
      </c>
      <c r="S702" s="81">
        <f>S706+S712+S703+S709</f>
        <v>471215.65</v>
      </c>
      <c r="T702" s="81">
        <f t="shared" ref="T702:U702" si="843">T706+T712+T703+T709</f>
        <v>0</v>
      </c>
      <c r="U702" s="81">
        <f t="shared" si="843"/>
        <v>0</v>
      </c>
      <c r="V702" s="81">
        <f t="shared" si="822"/>
        <v>4407236.32</v>
      </c>
      <c r="W702" s="81">
        <f t="shared" si="822"/>
        <v>2480969.13</v>
      </c>
      <c r="X702" s="81">
        <f t="shared" si="822"/>
        <v>252499</v>
      </c>
    </row>
    <row r="703" spans="1:24">
      <c r="A703" s="188" t="s">
        <v>367</v>
      </c>
      <c r="B703" s="1" t="s">
        <v>402</v>
      </c>
      <c r="C703" s="1" t="s">
        <v>18</v>
      </c>
      <c r="D703" s="1" t="s">
        <v>13</v>
      </c>
      <c r="E703" s="1" t="s">
        <v>363</v>
      </c>
      <c r="F703" s="1" t="s">
        <v>70</v>
      </c>
      <c r="G703" s="1" t="s">
        <v>148</v>
      </c>
      <c r="H703" s="1" t="s">
        <v>360</v>
      </c>
      <c r="I703" s="13"/>
      <c r="J703" s="81">
        <f>J704</f>
        <v>0</v>
      </c>
      <c r="K703" s="81">
        <f t="shared" ref="K703:O704" si="844">K704</f>
        <v>0</v>
      </c>
      <c r="L703" s="81">
        <f t="shared" si="844"/>
        <v>0</v>
      </c>
      <c r="M703" s="81">
        <f t="shared" si="844"/>
        <v>1858469.83</v>
      </c>
      <c r="N703" s="81">
        <f t="shared" si="844"/>
        <v>0</v>
      </c>
      <c r="O703" s="81">
        <f t="shared" si="844"/>
        <v>0</v>
      </c>
      <c r="P703" s="81">
        <f>P704</f>
        <v>1858469.8299999998</v>
      </c>
      <c r="Q703" s="81">
        <f t="shared" ref="Q703:U704" si="845">Q704</f>
        <v>0</v>
      </c>
      <c r="R703" s="81">
        <f t="shared" si="845"/>
        <v>0</v>
      </c>
      <c r="S703" s="81">
        <f t="shared" si="845"/>
        <v>-132906.98000000001</v>
      </c>
      <c r="T703" s="81">
        <f t="shared" si="845"/>
        <v>0</v>
      </c>
      <c r="U703" s="81">
        <f t="shared" si="845"/>
        <v>0</v>
      </c>
      <c r="V703" s="81">
        <f t="shared" si="822"/>
        <v>1725562.8499999999</v>
      </c>
      <c r="W703" s="81">
        <f t="shared" si="822"/>
        <v>0</v>
      </c>
      <c r="X703" s="81">
        <f t="shared" si="822"/>
        <v>0</v>
      </c>
    </row>
    <row r="704" spans="1:24" ht="25.5">
      <c r="A704" s="189" t="s">
        <v>260</v>
      </c>
      <c r="B704" s="1" t="s">
        <v>402</v>
      </c>
      <c r="C704" s="1" t="s">
        <v>18</v>
      </c>
      <c r="D704" s="1" t="s">
        <v>13</v>
      </c>
      <c r="E704" s="1" t="s">
        <v>363</v>
      </c>
      <c r="F704" s="1" t="s">
        <v>70</v>
      </c>
      <c r="G704" s="1" t="s">
        <v>148</v>
      </c>
      <c r="H704" s="1" t="s">
        <v>360</v>
      </c>
      <c r="I704" s="13" t="s">
        <v>94</v>
      </c>
      <c r="J704" s="81">
        <f>J705</f>
        <v>0</v>
      </c>
      <c r="K704" s="81">
        <f t="shared" si="844"/>
        <v>0</v>
      </c>
      <c r="L704" s="81">
        <f t="shared" si="844"/>
        <v>0</v>
      </c>
      <c r="M704" s="81">
        <f t="shared" si="844"/>
        <v>1858469.83</v>
      </c>
      <c r="N704" s="81">
        <f t="shared" si="844"/>
        <v>0</v>
      </c>
      <c r="O704" s="81">
        <f t="shared" si="844"/>
        <v>0</v>
      </c>
      <c r="P704" s="81">
        <f>P705</f>
        <v>1858469.8299999998</v>
      </c>
      <c r="Q704" s="81">
        <f t="shared" si="845"/>
        <v>0</v>
      </c>
      <c r="R704" s="81">
        <f t="shared" si="845"/>
        <v>0</v>
      </c>
      <c r="S704" s="81">
        <f t="shared" si="845"/>
        <v>-132906.98000000001</v>
      </c>
      <c r="T704" s="81">
        <f t="shared" si="845"/>
        <v>0</v>
      </c>
      <c r="U704" s="81">
        <f t="shared" si="845"/>
        <v>0</v>
      </c>
      <c r="V704" s="81">
        <f t="shared" si="822"/>
        <v>1725562.8499999999</v>
      </c>
      <c r="W704" s="81">
        <f t="shared" si="822"/>
        <v>0</v>
      </c>
      <c r="X704" s="81">
        <f t="shared" si="822"/>
        <v>0</v>
      </c>
    </row>
    <row r="705" spans="1:24" ht="25.5">
      <c r="A705" s="188" t="s">
        <v>98</v>
      </c>
      <c r="B705" s="1" t="s">
        <v>402</v>
      </c>
      <c r="C705" s="1" t="s">
        <v>18</v>
      </c>
      <c r="D705" s="1" t="s">
        <v>13</v>
      </c>
      <c r="E705" s="1" t="s">
        <v>363</v>
      </c>
      <c r="F705" s="1" t="s">
        <v>70</v>
      </c>
      <c r="G705" s="1" t="s">
        <v>148</v>
      </c>
      <c r="H705" s="1" t="s">
        <v>360</v>
      </c>
      <c r="I705" s="13" t="s">
        <v>95</v>
      </c>
      <c r="J705" s="81"/>
      <c r="K705" s="81"/>
      <c r="L705" s="81"/>
      <c r="M705" s="81">
        <f>450246.71+1408223.12</f>
        <v>1858469.83</v>
      </c>
      <c r="N705" s="81"/>
      <c r="O705" s="81"/>
      <c r="P705" s="81">
        <f>P1042+P1202</f>
        <v>1858469.8299999998</v>
      </c>
      <c r="Q705" s="81">
        <f t="shared" ref="Q705:U705" si="846">Q1042+Q1202</f>
        <v>0</v>
      </c>
      <c r="R705" s="81">
        <f t="shared" si="846"/>
        <v>0</v>
      </c>
      <c r="S705" s="81">
        <f t="shared" si="846"/>
        <v>-132906.98000000001</v>
      </c>
      <c r="T705" s="81">
        <f t="shared" si="846"/>
        <v>0</v>
      </c>
      <c r="U705" s="81">
        <f t="shared" si="846"/>
        <v>0</v>
      </c>
      <c r="V705" s="81">
        <f t="shared" si="822"/>
        <v>1725562.8499999999</v>
      </c>
      <c r="W705" s="81">
        <f t="shared" si="822"/>
        <v>0</v>
      </c>
      <c r="X705" s="81">
        <f t="shared" si="822"/>
        <v>0</v>
      </c>
    </row>
    <row r="706" spans="1:24" ht="25.5">
      <c r="A706" s="188" t="s">
        <v>366</v>
      </c>
      <c r="B706" s="1" t="s">
        <v>402</v>
      </c>
      <c r="C706" s="1" t="s">
        <v>18</v>
      </c>
      <c r="D706" s="1" t="s">
        <v>13</v>
      </c>
      <c r="E706" s="1" t="s">
        <v>363</v>
      </c>
      <c r="F706" s="1" t="s">
        <v>70</v>
      </c>
      <c r="G706" s="1" t="s">
        <v>148</v>
      </c>
      <c r="H706" s="1" t="s">
        <v>364</v>
      </c>
      <c r="I706" s="13"/>
      <c r="J706" s="81">
        <f>J707</f>
        <v>490983</v>
      </c>
      <c r="K706" s="81">
        <f t="shared" ref="K706:O707" si="847">K707</f>
        <v>252499</v>
      </c>
      <c r="L706" s="81">
        <f t="shared" si="847"/>
        <v>252499</v>
      </c>
      <c r="M706" s="81">
        <f t="shared" si="847"/>
        <v>-490983</v>
      </c>
      <c r="N706" s="81">
        <f t="shared" si="847"/>
        <v>-252499</v>
      </c>
      <c r="O706" s="81">
        <f t="shared" si="847"/>
        <v>-252499</v>
      </c>
      <c r="P706" s="81">
        <f>P707</f>
        <v>0</v>
      </c>
      <c r="Q706" s="81">
        <f t="shared" ref="Q706:U707" si="848">Q707</f>
        <v>0</v>
      </c>
      <c r="R706" s="81">
        <f t="shared" si="848"/>
        <v>0</v>
      </c>
      <c r="S706" s="81">
        <f t="shared" si="848"/>
        <v>0</v>
      </c>
      <c r="T706" s="81">
        <f t="shared" si="848"/>
        <v>0</v>
      </c>
      <c r="U706" s="81">
        <f t="shared" si="848"/>
        <v>0</v>
      </c>
      <c r="V706" s="81">
        <f t="shared" si="822"/>
        <v>0</v>
      </c>
      <c r="W706" s="81">
        <f t="shared" si="822"/>
        <v>0</v>
      </c>
      <c r="X706" s="81">
        <f t="shared" si="822"/>
        <v>0</v>
      </c>
    </row>
    <row r="707" spans="1:24" ht="25.5">
      <c r="A707" s="189" t="s">
        <v>260</v>
      </c>
      <c r="B707" s="1" t="s">
        <v>402</v>
      </c>
      <c r="C707" s="1" t="s">
        <v>18</v>
      </c>
      <c r="D707" s="1" t="s">
        <v>13</v>
      </c>
      <c r="E707" s="1" t="s">
        <v>363</v>
      </c>
      <c r="F707" s="1" t="s">
        <v>70</v>
      </c>
      <c r="G707" s="1" t="s">
        <v>148</v>
      </c>
      <c r="H707" s="1" t="s">
        <v>364</v>
      </c>
      <c r="I707" s="13" t="s">
        <v>94</v>
      </c>
      <c r="J707" s="81">
        <f>J708</f>
        <v>490983</v>
      </c>
      <c r="K707" s="81">
        <f t="shared" si="847"/>
        <v>252499</v>
      </c>
      <c r="L707" s="81">
        <f t="shared" si="847"/>
        <v>252499</v>
      </c>
      <c r="M707" s="81">
        <f t="shared" si="847"/>
        <v>-490983</v>
      </c>
      <c r="N707" s="81">
        <f t="shared" si="847"/>
        <v>-252499</v>
      </c>
      <c r="O707" s="81">
        <f t="shared" si="847"/>
        <v>-252499</v>
      </c>
      <c r="P707" s="81">
        <f>P708</f>
        <v>0</v>
      </c>
      <c r="Q707" s="81">
        <f t="shared" si="848"/>
        <v>0</v>
      </c>
      <c r="R707" s="81">
        <f t="shared" si="848"/>
        <v>0</v>
      </c>
      <c r="S707" s="81">
        <f t="shared" si="848"/>
        <v>0</v>
      </c>
      <c r="T707" s="81">
        <f t="shared" si="848"/>
        <v>0</v>
      </c>
      <c r="U707" s="81">
        <f t="shared" si="848"/>
        <v>0</v>
      </c>
      <c r="V707" s="81">
        <f t="shared" si="822"/>
        <v>0</v>
      </c>
      <c r="W707" s="81">
        <f t="shared" si="822"/>
        <v>0</v>
      </c>
      <c r="X707" s="81">
        <f t="shared" si="822"/>
        <v>0</v>
      </c>
    </row>
    <row r="708" spans="1:24" ht="25.5">
      <c r="A708" s="188" t="s">
        <v>98</v>
      </c>
      <c r="B708" s="1" t="s">
        <v>402</v>
      </c>
      <c r="C708" s="1" t="s">
        <v>18</v>
      </c>
      <c r="D708" s="1" t="s">
        <v>13</v>
      </c>
      <c r="E708" s="1" t="s">
        <v>363</v>
      </c>
      <c r="F708" s="1" t="s">
        <v>70</v>
      </c>
      <c r="G708" s="1" t="s">
        <v>148</v>
      </c>
      <c r="H708" s="1" t="s">
        <v>364</v>
      </c>
      <c r="I708" s="13" t="s">
        <v>95</v>
      </c>
      <c r="J708" s="81">
        <v>490983</v>
      </c>
      <c r="K708" s="81">
        <v>252499</v>
      </c>
      <c r="L708" s="81">
        <v>252499</v>
      </c>
      <c r="M708" s="81">
        <v>-490983</v>
      </c>
      <c r="N708" s="81">
        <v>-252499</v>
      </c>
      <c r="O708" s="81">
        <v>-252499</v>
      </c>
      <c r="P708" s="81">
        <f t="shared" ref="P708:R708" si="849">J708+M708</f>
        <v>0</v>
      </c>
      <c r="Q708" s="81">
        <f t="shared" si="849"/>
        <v>0</v>
      </c>
      <c r="R708" s="81">
        <f t="shared" si="849"/>
        <v>0</v>
      </c>
      <c r="S708" s="81"/>
      <c r="T708" s="81"/>
      <c r="U708" s="81"/>
      <c r="V708" s="81">
        <f t="shared" si="822"/>
        <v>0</v>
      </c>
      <c r="W708" s="81">
        <f t="shared" si="822"/>
        <v>0</v>
      </c>
      <c r="X708" s="81">
        <f t="shared" si="822"/>
        <v>0</v>
      </c>
    </row>
    <row r="709" spans="1:24" ht="38.25">
      <c r="A709" s="188" t="s">
        <v>447</v>
      </c>
      <c r="B709" s="1" t="s">
        <v>402</v>
      </c>
      <c r="C709" s="1" t="s">
        <v>18</v>
      </c>
      <c r="D709" s="1" t="s">
        <v>13</v>
      </c>
      <c r="E709" s="1" t="s">
        <v>363</v>
      </c>
      <c r="F709" s="1" t="s">
        <v>70</v>
      </c>
      <c r="G709" s="1" t="s">
        <v>148</v>
      </c>
      <c r="H709" s="1" t="s">
        <v>446</v>
      </c>
      <c r="I709" s="13"/>
      <c r="J709" s="81"/>
      <c r="K709" s="81"/>
      <c r="L709" s="81"/>
      <c r="M709" s="81"/>
      <c r="N709" s="81"/>
      <c r="O709" s="81"/>
      <c r="P709" s="81">
        <f>P710</f>
        <v>0</v>
      </c>
      <c r="Q709" s="81">
        <f t="shared" ref="Q709:R710" si="850">Q710</f>
        <v>0</v>
      </c>
      <c r="R709" s="81">
        <f t="shared" si="850"/>
        <v>0</v>
      </c>
      <c r="S709" s="81">
        <f>S710</f>
        <v>604122.63</v>
      </c>
      <c r="T709" s="81">
        <f t="shared" ref="T709:U710" si="851">T710</f>
        <v>0</v>
      </c>
      <c r="U709" s="81">
        <f t="shared" si="851"/>
        <v>0</v>
      </c>
      <c r="V709" s="81">
        <f t="shared" si="822"/>
        <v>604122.63</v>
      </c>
      <c r="W709" s="81">
        <f t="shared" si="822"/>
        <v>0</v>
      </c>
      <c r="X709" s="81">
        <f t="shared" si="822"/>
        <v>0</v>
      </c>
    </row>
    <row r="710" spans="1:24" ht="25.5">
      <c r="A710" s="189" t="s">
        <v>260</v>
      </c>
      <c r="B710" s="1" t="s">
        <v>402</v>
      </c>
      <c r="C710" s="1" t="s">
        <v>18</v>
      </c>
      <c r="D710" s="1" t="s">
        <v>13</v>
      </c>
      <c r="E710" s="1" t="s">
        <v>363</v>
      </c>
      <c r="F710" s="1" t="s">
        <v>70</v>
      </c>
      <c r="G710" s="1" t="s">
        <v>148</v>
      </c>
      <c r="H710" s="1" t="s">
        <v>446</v>
      </c>
      <c r="I710" s="13" t="s">
        <v>94</v>
      </c>
      <c r="J710" s="81"/>
      <c r="K710" s="81"/>
      <c r="L710" s="81"/>
      <c r="M710" s="81"/>
      <c r="N710" s="81"/>
      <c r="O710" s="81"/>
      <c r="P710" s="81">
        <f>P711</f>
        <v>0</v>
      </c>
      <c r="Q710" s="81">
        <f t="shared" si="850"/>
        <v>0</v>
      </c>
      <c r="R710" s="81">
        <f t="shared" si="850"/>
        <v>0</v>
      </c>
      <c r="S710" s="81">
        <f>S711</f>
        <v>604122.63</v>
      </c>
      <c r="T710" s="81">
        <f t="shared" si="851"/>
        <v>0</v>
      </c>
      <c r="U710" s="81">
        <f t="shared" si="851"/>
        <v>0</v>
      </c>
      <c r="V710" s="81">
        <f t="shared" si="822"/>
        <v>604122.63</v>
      </c>
      <c r="W710" s="81">
        <f t="shared" si="822"/>
        <v>0</v>
      </c>
      <c r="X710" s="81">
        <f t="shared" si="822"/>
        <v>0</v>
      </c>
    </row>
    <row r="711" spans="1:24" ht="25.5">
      <c r="A711" s="188" t="s">
        <v>98</v>
      </c>
      <c r="B711" s="1" t="s">
        <v>402</v>
      </c>
      <c r="C711" s="1" t="s">
        <v>18</v>
      </c>
      <c r="D711" s="1" t="s">
        <v>13</v>
      </c>
      <c r="E711" s="1" t="s">
        <v>363</v>
      </c>
      <c r="F711" s="1" t="s">
        <v>70</v>
      </c>
      <c r="G711" s="1" t="s">
        <v>148</v>
      </c>
      <c r="H711" s="1" t="s">
        <v>446</v>
      </c>
      <c r="I711" s="13" t="s">
        <v>95</v>
      </c>
      <c r="J711" s="81"/>
      <c r="K711" s="81"/>
      <c r="L711" s="81"/>
      <c r="M711" s="81"/>
      <c r="N711" s="81"/>
      <c r="O711" s="81"/>
      <c r="P711" s="81">
        <f>P1048</f>
        <v>0</v>
      </c>
      <c r="Q711" s="81">
        <f t="shared" ref="Q711:U711" si="852">Q1048</f>
        <v>0</v>
      </c>
      <c r="R711" s="81">
        <f t="shared" si="852"/>
        <v>0</v>
      </c>
      <c r="S711" s="81">
        <f t="shared" si="852"/>
        <v>604122.63</v>
      </c>
      <c r="T711" s="81">
        <f t="shared" si="852"/>
        <v>0</v>
      </c>
      <c r="U711" s="81">
        <f t="shared" si="852"/>
        <v>0</v>
      </c>
      <c r="V711" s="81">
        <f t="shared" ref="V711:X730" si="853">P711+S711</f>
        <v>604122.63</v>
      </c>
      <c r="W711" s="81">
        <f t="shared" si="853"/>
        <v>0</v>
      </c>
      <c r="X711" s="81">
        <f t="shared" si="853"/>
        <v>0</v>
      </c>
    </row>
    <row r="712" spans="1:24">
      <c r="A712" s="188" t="s">
        <v>431</v>
      </c>
      <c r="B712" s="1" t="s">
        <v>402</v>
      </c>
      <c r="C712" s="1" t="s">
        <v>18</v>
      </c>
      <c r="D712" s="1" t="s">
        <v>13</v>
      </c>
      <c r="E712" s="1" t="s">
        <v>363</v>
      </c>
      <c r="F712" s="1" t="s">
        <v>70</v>
      </c>
      <c r="G712" s="1" t="s">
        <v>429</v>
      </c>
      <c r="H712" s="1" t="s">
        <v>430</v>
      </c>
      <c r="I712" s="13"/>
      <c r="J712" s="81">
        <f>J713</f>
        <v>0</v>
      </c>
      <c r="K712" s="81">
        <f t="shared" ref="K712:O713" si="854">K713</f>
        <v>0</v>
      </c>
      <c r="L712" s="81">
        <f t="shared" si="854"/>
        <v>0</v>
      </c>
      <c r="M712" s="81">
        <f t="shared" si="854"/>
        <v>2077550.84</v>
      </c>
      <c r="N712" s="81">
        <f t="shared" si="854"/>
        <v>2480969.13</v>
      </c>
      <c r="O712" s="81">
        <f t="shared" si="854"/>
        <v>252499</v>
      </c>
      <c r="P712" s="81">
        <f>P713</f>
        <v>2077550.84</v>
      </c>
      <c r="Q712" s="81">
        <f t="shared" ref="Q712:U713" si="855">Q713</f>
        <v>2480969.13</v>
      </c>
      <c r="R712" s="81">
        <f t="shared" si="855"/>
        <v>252499</v>
      </c>
      <c r="S712" s="81">
        <f t="shared" si="855"/>
        <v>0</v>
      </c>
      <c r="T712" s="81">
        <f t="shared" si="855"/>
        <v>0</v>
      </c>
      <c r="U712" s="81">
        <f t="shared" si="855"/>
        <v>0</v>
      </c>
      <c r="V712" s="81">
        <f t="shared" si="853"/>
        <v>2077550.84</v>
      </c>
      <c r="W712" s="81">
        <f t="shared" si="853"/>
        <v>2480969.13</v>
      </c>
      <c r="X712" s="81">
        <f t="shared" si="853"/>
        <v>252499</v>
      </c>
    </row>
    <row r="713" spans="1:24" ht="25.5">
      <c r="A713" s="189" t="s">
        <v>260</v>
      </c>
      <c r="B713" s="1" t="s">
        <v>402</v>
      </c>
      <c r="C713" s="1" t="s">
        <v>18</v>
      </c>
      <c r="D713" s="1" t="s">
        <v>13</v>
      </c>
      <c r="E713" s="1" t="s">
        <v>363</v>
      </c>
      <c r="F713" s="1" t="s">
        <v>70</v>
      </c>
      <c r="G713" s="1" t="s">
        <v>429</v>
      </c>
      <c r="H713" s="1" t="s">
        <v>430</v>
      </c>
      <c r="I713" s="13" t="s">
        <v>94</v>
      </c>
      <c r="J713" s="81">
        <f>J714</f>
        <v>0</v>
      </c>
      <c r="K713" s="81">
        <f t="shared" si="854"/>
        <v>0</v>
      </c>
      <c r="L713" s="81">
        <f t="shared" si="854"/>
        <v>0</v>
      </c>
      <c r="M713" s="81">
        <f t="shared" si="854"/>
        <v>2077550.84</v>
      </c>
      <c r="N713" s="81">
        <f t="shared" si="854"/>
        <v>2480969.13</v>
      </c>
      <c r="O713" s="81">
        <f t="shared" si="854"/>
        <v>252499</v>
      </c>
      <c r="P713" s="81">
        <f>P714</f>
        <v>2077550.84</v>
      </c>
      <c r="Q713" s="81">
        <f t="shared" si="855"/>
        <v>2480969.13</v>
      </c>
      <c r="R713" s="81">
        <f t="shared" si="855"/>
        <v>252499</v>
      </c>
      <c r="S713" s="81">
        <f t="shared" si="855"/>
        <v>0</v>
      </c>
      <c r="T713" s="81">
        <f t="shared" si="855"/>
        <v>0</v>
      </c>
      <c r="U713" s="81">
        <f t="shared" si="855"/>
        <v>0</v>
      </c>
      <c r="V713" s="81">
        <f t="shared" si="853"/>
        <v>2077550.84</v>
      </c>
      <c r="W713" s="81">
        <f t="shared" si="853"/>
        <v>2480969.13</v>
      </c>
      <c r="X713" s="81">
        <f t="shared" si="853"/>
        <v>252499</v>
      </c>
    </row>
    <row r="714" spans="1:24" ht="25.5">
      <c r="A714" s="188" t="s">
        <v>98</v>
      </c>
      <c r="B714" s="1" t="s">
        <v>402</v>
      </c>
      <c r="C714" s="1" t="s">
        <v>18</v>
      </c>
      <c r="D714" s="1" t="s">
        <v>13</v>
      </c>
      <c r="E714" s="1" t="s">
        <v>363</v>
      </c>
      <c r="F714" s="1" t="s">
        <v>70</v>
      </c>
      <c r="G714" s="1" t="s">
        <v>429</v>
      </c>
      <c r="H714" s="1" t="s">
        <v>430</v>
      </c>
      <c r="I714" s="13" t="s">
        <v>95</v>
      </c>
      <c r="J714" s="81"/>
      <c r="K714" s="81"/>
      <c r="L714" s="81"/>
      <c r="M714" s="81">
        <f>2036814.55+40736.29</f>
        <v>2077550.84</v>
      </c>
      <c r="N714" s="81">
        <f>2228470.13+252499</f>
        <v>2480969.13</v>
      </c>
      <c r="O714" s="81">
        <v>252499</v>
      </c>
      <c r="P714" s="81">
        <f>P1051+P1205</f>
        <v>2077550.84</v>
      </c>
      <c r="Q714" s="81">
        <f t="shared" ref="Q714:U714" si="856">Q1051+Q1205</f>
        <v>2480969.13</v>
      </c>
      <c r="R714" s="81">
        <f t="shared" si="856"/>
        <v>252499</v>
      </c>
      <c r="S714" s="81">
        <f t="shared" si="856"/>
        <v>0</v>
      </c>
      <c r="T714" s="81">
        <f t="shared" si="856"/>
        <v>0</v>
      </c>
      <c r="U714" s="81">
        <f t="shared" si="856"/>
        <v>0</v>
      </c>
      <c r="V714" s="81">
        <f t="shared" si="853"/>
        <v>2077550.84</v>
      </c>
      <c r="W714" s="81">
        <f t="shared" si="853"/>
        <v>2480969.13</v>
      </c>
      <c r="X714" s="81">
        <f t="shared" si="853"/>
        <v>252499</v>
      </c>
    </row>
    <row r="715" spans="1:24">
      <c r="A715" s="9" t="s">
        <v>83</v>
      </c>
      <c r="B715" s="1" t="s">
        <v>402</v>
      </c>
      <c r="C715" s="1" t="s">
        <v>18</v>
      </c>
      <c r="D715" s="1" t="s">
        <v>13</v>
      </c>
      <c r="E715" s="1" t="s">
        <v>82</v>
      </c>
      <c r="F715" s="1" t="s">
        <v>70</v>
      </c>
      <c r="G715" s="1" t="s">
        <v>148</v>
      </c>
      <c r="H715" s="1" t="s">
        <v>149</v>
      </c>
      <c r="I715" s="13"/>
      <c r="J715" s="81">
        <f>J722+J719+J716</f>
        <v>18170519</v>
      </c>
      <c r="K715" s="81">
        <f t="shared" ref="K715:O715" si="857">K722+K719+K716</f>
        <v>18374203.130000003</v>
      </c>
      <c r="L715" s="81">
        <f t="shared" si="857"/>
        <v>18087341.830000002</v>
      </c>
      <c r="M715" s="81">
        <f t="shared" si="857"/>
        <v>500000</v>
      </c>
      <c r="N715" s="81">
        <f t="shared" si="857"/>
        <v>0</v>
      </c>
      <c r="O715" s="81">
        <f t="shared" si="857"/>
        <v>0</v>
      </c>
      <c r="P715" s="81">
        <f>P716+P719+P722+P729</f>
        <v>18670519</v>
      </c>
      <c r="Q715" s="81">
        <f t="shared" ref="Q715:R715" si="858">Q716+Q719+Q722+Q729</f>
        <v>18374203.130000003</v>
      </c>
      <c r="R715" s="81">
        <f t="shared" si="858"/>
        <v>18087341.830000002</v>
      </c>
      <c r="S715" s="81">
        <f>S722+S719+S716+S729</f>
        <v>849213.3</v>
      </c>
      <c r="T715" s="81">
        <f t="shared" ref="T715:U715" si="859">T722+T719+T716+T729</f>
        <v>0</v>
      </c>
      <c r="U715" s="81">
        <f t="shared" si="859"/>
        <v>0</v>
      </c>
      <c r="V715" s="81">
        <f t="shared" si="853"/>
        <v>19519732.300000001</v>
      </c>
      <c r="W715" s="81">
        <f t="shared" si="853"/>
        <v>18374203.130000003</v>
      </c>
      <c r="X715" s="81">
        <f t="shared" si="853"/>
        <v>18087341.830000002</v>
      </c>
    </row>
    <row r="716" spans="1:24">
      <c r="A716" s="9" t="s">
        <v>346</v>
      </c>
      <c r="B716" s="1" t="s">
        <v>402</v>
      </c>
      <c r="C716" s="1" t="s">
        <v>18</v>
      </c>
      <c r="D716" s="1" t="s">
        <v>13</v>
      </c>
      <c r="E716" s="1" t="s">
        <v>82</v>
      </c>
      <c r="F716" s="1" t="s">
        <v>70</v>
      </c>
      <c r="G716" s="1" t="s">
        <v>148</v>
      </c>
      <c r="H716" s="1" t="s">
        <v>345</v>
      </c>
      <c r="I716" s="13"/>
      <c r="J716" s="81">
        <f>J717</f>
        <v>750600</v>
      </c>
      <c r="K716" s="81">
        <f t="shared" ref="K716:O717" si="860">K717</f>
        <v>758109.03</v>
      </c>
      <c r="L716" s="81">
        <f t="shared" si="860"/>
        <v>765690.12</v>
      </c>
      <c r="M716" s="81">
        <f t="shared" si="860"/>
        <v>0</v>
      </c>
      <c r="N716" s="81">
        <f t="shared" si="860"/>
        <v>0</v>
      </c>
      <c r="O716" s="81">
        <f t="shared" si="860"/>
        <v>0</v>
      </c>
      <c r="P716" s="81">
        <f>P717</f>
        <v>750600</v>
      </c>
      <c r="Q716" s="81">
        <f t="shared" ref="Q716:U717" si="861">Q717</f>
        <v>758109.03</v>
      </c>
      <c r="R716" s="81">
        <f t="shared" si="861"/>
        <v>765690.12</v>
      </c>
      <c r="S716" s="81">
        <f t="shared" si="861"/>
        <v>0</v>
      </c>
      <c r="T716" s="81">
        <f t="shared" si="861"/>
        <v>0</v>
      </c>
      <c r="U716" s="81">
        <f t="shared" si="861"/>
        <v>0</v>
      </c>
      <c r="V716" s="81">
        <f t="shared" si="853"/>
        <v>750600</v>
      </c>
      <c r="W716" s="81">
        <f t="shared" si="853"/>
        <v>758109.03</v>
      </c>
      <c r="X716" s="81">
        <f t="shared" si="853"/>
        <v>765690.12</v>
      </c>
    </row>
    <row r="717" spans="1:24" ht="25.5">
      <c r="A717" s="209" t="s">
        <v>72</v>
      </c>
      <c r="B717" s="1" t="s">
        <v>402</v>
      </c>
      <c r="C717" s="1" t="s">
        <v>18</v>
      </c>
      <c r="D717" s="1" t="s">
        <v>13</v>
      </c>
      <c r="E717" s="1" t="s">
        <v>82</v>
      </c>
      <c r="F717" s="1" t="s">
        <v>70</v>
      </c>
      <c r="G717" s="1" t="s">
        <v>148</v>
      </c>
      <c r="H717" s="1" t="s">
        <v>345</v>
      </c>
      <c r="I717" s="13" t="s">
        <v>71</v>
      </c>
      <c r="J717" s="81">
        <f>J718</f>
        <v>750600</v>
      </c>
      <c r="K717" s="81">
        <f t="shared" si="860"/>
        <v>758109.03</v>
      </c>
      <c r="L717" s="81">
        <f t="shared" si="860"/>
        <v>765690.12</v>
      </c>
      <c r="M717" s="81">
        <f t="shared" si="860"/>
        <v>0</v>
      </c>
      <c r="N717" s="81">
        <f t="shared" si="860"/>
        <v>0</v>
      </c>
      <c r="O717" s="81">
        <f t="shared" si="860"/>
        <v>0</v>
      </c>
      <c r="P717" s="81">
        <f>P718</f>
        <v>750600</v>
      </c>
      <c r="Q717" s="81">
        <f t="shared" si="861"/>
        <v>758109.03</v>
      </c>
      <c r="R717" s="81">
        <f t="shared" si="861"/>
        <v>765690.12</v>
      </c>
      <c r="S717" s="81">
        <f t="shared" si="861"/>
        <v>0</v>
      </c>
      <c r="T717" s="81">
        <f t="shared" si="861"/>
        <v>0</v>
      </c>
      <c r="U717" s="81">
        <f t="shared" si="861"/>
        <v>0</v>
      </c>
      <c r="V717" s="81">
        <f t="shared" si="853"/>
        <v>750600</v>
      </c>
      <c r="W717" s="81">
        <f t="shared" si="853"/>
        <v>758109.03</v>
      </c>
      <c r="X717" s="81">
        <f t="shared" si="853"/>
        <v>765690.12</v>
      </c>
    </row>
    <row r="718" spans="1:24">
      <c r="A718" s="9" t="s">
        <v>249</v>
      </c>
      <c r="B718" s="1" t="s">
        <v>402</v>
      </c>
      <c r="C718" s="1" t="s">
        <v>18</v>
      </c>
      <c r="D718" s="1" t="s">
        <v>13</v>
      </c>
      <c r="E718" s="1" t="s">
        <v>82</v>
      </c>
      <c r="F718" s="1" t="s">
        <v>70</v>
      </c>
      <c r="G718" s="1" t="s">
        <v>148</v>
      </c>
      <c r="H718" s="1" t="s">
        <v>345</v>
      </c>
      <c r="I718" s="13" t="s">
        <v>246</v>
      </c>
      <c r="J718" s="81">
        <v>750600</v>
      </c>
      <c r="K718" s="81">
        <v>758109.03</v>
      </c>
      <c r="L718" s="81">
        <v>765690.12</v>
      </c>
      <c r="M718" s="81"/>
      <c r="N718" s="81"/>
      <c r="O718" s="81"/>
      <c r="P718" s="81">
        <f>P1055</f>
        <v>750600</v>
      </c>
      <c r="Q718" s="81">
        <f t="shared" ref="Q718:U718" si="862">Q1055</f>
        <v>758109.03</v>
      </c>
      <c r="R718" s="81">
        <f t="shared" si="862"/>
        <v>765690.12</v>
      </c>
      <c r="S718" s="81">
        <f t="shared" si="862"/>
        <v>0</v>
      </c>
      <c r="T718" s="81">
        <f t="shared" si="862"/>
        <v>0</v>
      </c>
      <c r="U718" s="81">
        <f t="shared" si="862"/>
        <v>0</v>
      </c>
      <c r="V718" s="81">
        <f t="shared" si="853"/>
        <v>750600</v>
      </c>
      <c r="W718" s="81">
        <f t="shared" si="853"/>
        <v>758109.03</v>
      </c>
      <c r="X718" s="81">
        <f t="shared" si="853"/>
        <v>765690.12</v>
      </c>
    </row>
    <row r="719" spans="1:24">
      <c r="A719" s="292" t="s">
        <v>362</v>
      </c>
      <c r="B719" s="1" t="s">
        <v>402</v>
      </c>
      <c r="C719" s="1" t="s">
        <v>18</v>
      </c>
      <c r="D719" s="1" t="s">
        <v>13</v>
      </c>
      <c r="E719" s="1" t="s">
        <v>82</v>
      </c>
      <c r="F719" s="1" t="s">
        <v>70</v>
      </c>
      <c r="G719" s="1" t="s">
        <v>148</v>
      </c>
      <c r="H719" s="1" t="s">
        <v>361</v>
      </c>
      <c r="I719" s="13"/>
      <c r="J719" s="81">
        <f>J720</f>
        <v>150000</v>
      </c>
      <c r="K719" s="81">
        <f t="shared" ref="K719:O720" si="863">K720</f>
        <v>150000</v>
      </c>
      <c r="L719" s="81">
        <f t="shared" si="863"/>
        <v>150000</v>
      </c>
      <c r="M719" s="81">
        <f t="shared" si="863"/>
        <v>300000</v>
      </c>
      <c r="N719" s="81">
        <f t="shared" si="863"/>
        <v>0</v>
      </c>
      <c r="O719" s="81">
        <f t="shared" si="863"/>
        <v>0</v>
      </c>
      <c r="P719" s="81">
        <f>P720</f>
        <v>450000</v>
      </c>
      <c r="Q719" s="81">
        <f t="shared" ref="Q719:U720" si="864">Q720</f>
        <v>450000</v>
      </c>
      <c r="R719" s="81">
        <f t="shared" si="864"/>
        <v>450000</v>
      </c>
      <c r="S719" s="81">
        <f t="shared" si="864"/>
        <v>0</v>
      </c>
      <c r="T719" s="81">
        <f t="shared" si="864"/>
        <v>0</v>
      </c>
      <c r="U719" s="81">
        <f t="shared" si="864"/>
        <v>0</v>
      </c>
      <c r="V719" s="81">
        <f t="shared" si="853"/>
        <v>450000</v>
      </c>
      <c r="W719" s="81">
        <f t="shared" si="853"/>
        <v>450000</v>
      </c>
      <c r="X719" s="81">
        <f t="shared" si="853"/>
        <v>450000</v>
      </c>
    </row>
    <row r="720" spans="1:24" ht="25.5">
      <c r="A720" s="189" t="s">
        <v>260</v>
      </c>
      <c r="B720" s="1" t="s">
        <v>402</v>
      </c>
      <c r="C720" s="1" t="s">
        <v>18</v>
      </c>
      <c r="D720" s="1" t="s">
        <v>13</v>
      </c>
      <c r="E720" s="1" t="s">
        <v>82</v>
      </c>
      <c r="F720" s="1" t="s">
        <v>70</v>
      </c>
      <c r="G720" s="1" t="s">
        <v>148</v>
      </c>
      <c r="H720" s="1" t="s">
        <v>361</v>
      </c>
      <c r="I720" s="13" t="s">
        <v>94</v>
      </c>
      <c r="J720" s="81">
        <f>J721</f>
        <v>150000</v>
      </c>
      <c r="K720" s="81">
        <f t="shared" si="863"/>
        <v>150000</v>
      </c>
      <c r="L720" s="81">
        <f t="shared" si="863"/>
        <v>150000</v>
      </c>
      <c r="M720" s="81">
        <f t="shared" si="863"/>
        <v>300000</v>
      </c>
      <c r="N720" s="81">
        <f t="shared" si="863"/>
        <v>0</v>
      </c>
      <c r="O720" s="81">
        <f t="shared" si="863"/>
        <v>0</v>
      </c>
      <c r="P720" s="81">
        <f>P721</f>
        <v>450000</v>
      </c>
      <c r="Q720" s="81">
        <f t="shared" si="864"/>
        <v>450000</v>
      </c>
      <c r="R720" s="81">
        <f t="shared" si="864"/>
        <v>450000</v>
      </c>
      <c r="S720" s="81">
        <f t="shared" si="864"/>
        <v>0</v>
      </c>
      <c r="T720" s="81">
        <f t="shared" si="864"/>
        <v>0</v>
      </c>
      <c r="U720" s="81">
        <f t="shared" si="864"/>
        <v>0</v>
      </c>
      <c r="V720" s="81">
        <f t="shared" si="853"/>
        <v>450000</v>
      </c>
      <c r="W720" s="81">
        <f t="shared" si="853"/>
        <v>450000</v>
      </c>
      <c r="X720" s="81">
        <f t="shared" si="853"/>
        <v>450000</v>
      </c>
    </row>
    <row r="721" spans="1:24" ht="25.5">
      <c r="A721" s="188" t="s">
        <v>98</v>
      </c>
      <c r="B721" s="1" t="s">
        <v>402</v>
      </c>
      <c r="C721" s="1" t="s">
        <v>18</v>
      </c>
      <c r="D721" s="1" t="s">
        <v>13</v>
      </c>
      <c r="E721" s="1" t="s">
        <v>82</v>
      </c>
      <c r="F721" s="1" t="s">
        <v>70</v>
      </c>
      <c r="G721" s="1" t="s">
        <v>148</v>
      </c>
      <c r="H721" s="1" t="s">
        <v>361</v>
      </c>
      <c r="I721" s="13" t="s">
        <v>95</v>
      </c>
      <c r="J721" s="81">
        <v>150000</v>
      </c>
      <c r="K721" s="81">
        <v>150000</v>
      </c>
      <c r="L721" s="81">
        <v>150000</v>
      </c>
      <c r="M721" s="81">
        <v>300000</v>
      </c>
      <c r="N721" s="81"/>
      <c r="O721" s="81"/>
      <c r="P721" s="81">
        <f>P1209+P1263+P1327+P1391+P1449+P1498+P1559+P1611+P1665+P1719</f>
        <v>450000</v>
      </c>
      <c r="Q721" s="81">
        <f t="shared" ref="Q721:U721" si="865">Q1209+Q1263+Q1327+Q1391+Q1449+Q1498+Q1559+Q1611+Q1665+Q1719</f>
        <v>450000</v>
      </c>
      <c r="R721" s="81">
        <f t="shared" si="865"/>
        <v>450000</v>
      </c>
      <c r="S721" s="81">
        <f t="shared" si="865"/>
        <v>0</v>
      </c>
      <c r="T721" s="81">
        <f t="shared" si="865"/>
        <v>0</v>
      </c>
      <c r="U721" s="81">
        <f t="shared" si="865"/>
        <v>0</v>
      </c>
      <c r="V721" s="81">
        <f t="shared" si="853"/>
        <v>450000</v>
      </c>
      <c r="W721" s="81">
        <f t="shared" si="853"/>
        <v>450000</v>
      </c>
      <c r="X721" s="81">
        <f t="shared" si="853"/>
        <v>450000</v>
      </c>
    </row>
    <row r="722" spans="1:24">
      <c r="A722" s="188" t="s">
        <v>367</v>
      </c>
      <c r="B722" s="1" t="s">
        <v>402</v>
      </c>
      <c r="C722" s="1" t="s">
        <v>18</v>
      </c>
      <c r="D722" s="1" t="s">
        <v>13</v>
      </c>
      <c r="E722" s="1" t="s">
        <v>82</v>
      </c>
      <c r="F722" s="1" t="s">
        <v>70</v>
      </c>
      <c r="G722" s="1" t="s">
        <v>148</v>
      </c>
      <c r="H722" s="1" t="s">
        <v>360</v>
      </c>
      <c r="I722" s="13"/>
      <c r="J722" s="81">
        <f>J723+J725+J727</f>
        <v>17269919</v>
      </c>
      <c r="K722" s="81">
        <f t="shared" ref="K722:O722" si="866">K723+K725+K727</f>
        <v>17466094.100000001</v>
      </c>
      <c r="L722" s="81">
        <f t="shared" si="866"/>
        <v>17171651.710000001</v>
      </c>
      <c r="M722" s="81">
        <f t="shared" si="866"/>
        <v>200000</v>
      </c>
      <c r="N722" s="81">
        <f t="shared" si="866"/>
        <v>0</v>
      </c>
      <c r="O722" s="81">
        <f t="shared" si="866"/>
        <v>0</v>
      </c>
      <c r="P722" s="81">
        <f>P723+P725+P727</f>
        <v>17469919</v>
      </c>
      <c r="Q722" s="81">
        <f t="shared" ref="Q722:U722" si="867">Q723+Q725+Q727</f>
        <v>17166094.100000001</v>
      </c>
      <c r="R722" s="81">
        <f t="shared" si="867"/>
        <v>16871651.710000001</v>
      </c>
      <c r="S722" s="81">
        <f t="shared" si="867"/>
        <v>549213.30000000005</v>
      </c>
      <c r="T722" s="81">
        <f t="shared" si="867"/>
        <v>0</v>
      </c>
      <c r="U722" s="81">
        <f t="shared" si="867"/>
        <v>0</v>
      </c>
      <c r="V722" s="81">
        <f t="shared" si="853"/>
        <v>18019132.300000001</v>
      </c>
      <c r="W722" s="81">
        <f t="shared" si="853"/>
        <v>17166094.100000001</v>
      </c>
      <c r="X722" s="81">
        <f t="shared" si="853"/>
        <v>16871651.710000001</v>
      </c>
    </row>
    <row r="723" spans="1:24" ht="38.25">
      <c r="A723" s="188" t="s">
        <v>96</v>
      </c>
      <c r="B723" s="1" t="s">
        <v>402</v>
      </c>
      <c r="C723" s="1" t="s">
        <v>18</v>
      </c>
      <c r="D723" s="1" t="s">
        <v>13</v>
      </c>
      <c r="E723" s="1" t="s">
        <v>82</v>
      </c>
      <c r="F723" s="1" t="s">
        <v>70</v>
      </c>
      <c r="G723" s="1" t="s">
        <v>148</v>
      </c>
      <c r="H723" s="1" t="s">
        <v>360</v>
      </c>
      <c r="I723" s="13" t="s">
        <v>92</v>
      </c>
      <c r="J723" s="81">
        <f>J724</f>
        <v>8601700</v>
      </c>
      <c r="K723" s="81">
        <f t="shared" ref="K723:O723" si="868">K724</f>
        <v>8683109.2200000007</v>
      </c>
      <c r="L723" s="81">
        <f t="shared" si="868"/>
        <v>8769390.3200000003</v>
      </c>
      <c r="M723" s="81">
        <f t="shared" si="868"/>
        <v>0</v>
      </c>
      <c r="N723" s="81">
        <f t="shared" si="868"/>
        <v>0</v>
      </c>
      <c r="O723" s="81">
        <f t="shared" si="868"/>
        <v>0</v>
      </c>
      <c r="P723" s="81">
        <f>P724</f>
        <v>8601700</v>
      </c>
      <c r="Q723" s="81">
        <f t="shared" ref="Q723:U723" si="869">Q724</f>
        <v>8683109.2200000007</v>
      </c>
      <c r="R723" s="81">
        <f t="shared" si="869"/>
        <v>8769390.3200000003</v>
      </c>
      <c r="S723" s="81">
        <f t="shared" si="869"/>
        <v>0</v>
      </c>
      <c r="T723" s="81">
        <f t="shared" si="869"/>
        <v>0</v>
      </c>
      <c r="U723" s="81">
        <f t="shared" si="869"/>
        <v>0</v>
      </c>
      <c r="V723" s="81">
        <f t="shared" si="853"/>
        <v>8601700</v>
      </c>
      <c r="W723" s="81">
        <f t="shared" si="853"/>
        <v>8683109.2200000007</v>
      </c>
      <c r="X723" s="81">
        <f t="shared" si="853"/>
        <v>8769390.3200000003</v>
      </c>
    </row>
    <row r="724" spans="1:24">
      <c r="A724" s="188" t="s">
        <v>97</v>
      </c>
      <c r="B724" s="1" t="s">
        <v>402</v>
      </c>
      <c r="C724" s="1" t="s">
        <v>18</v>
      </c>
      <c r="D724" s="1" t="s">
        <v>13</v>
      </c>
      <c r="E724" s="1" t="s">
        <v>82</v>
      </c>
      <c r="F724" s="1" t="s">
        <v>70</v>
      </c>
      <c r="G724" s="1" t="s">
        <v>148</v>
      </c>
      <c r="H724" s="1" t="s">
        <v>360</v>
      </c>
      <c r="I724" s="13" t="s">
        <v>93</v>
      </c>
      <c r="J724" s="81">
        <v>8601700</v>
      </c>
      <c r="K724" s="81">
        <v>8683109.2200000007</v>
      </c>
      <c r="L724" s="81">
        <v>8769390.3200000003</v>
      </c>
      <c r="M724" s="81"/>
      <c r="N724" s="81"/>
      <c r="O724" s="81"/>
      <c r="P724" s="81">
        <f>P1722</f>
        <v>8601700</v>
      </c>
      <c r="Q724" s="81">
        <f t="shared" ref="Q724:U724" si="870">Q1722</f>
        <v>8683109.2200000007</v>
      </c>
      <c r="R724" s="81">
        <f t="shared" si="870"/>
        <v>8769390.3200000003</v>
      </c>
      <c r="S724" s="81">
        <f t="shared" si="870"/>
        <v>0</v>
      </c>
      <c r="T724" s="81">
        <f t="shared" si="870"/>
        <v>0</v>
      </c>
      <c r="U724" s="81">
        <f t="shared" si="870"/>
        <v>0</v>
      </c>
      <c r="V724" s="81">
        <f t="shared" si="853"/>
        <v>8601700</v>
      </c>
      <c r="W724" s="81">
        <f t="shared" si="853"/>
        <v>8683109.2200000007</v>
      </c>
      <c r="X724" s="81">
        <f t="shared" si="853"/>
        <v>8769390.3200000003</v>
      </c>
    </row>
    <row r="725" spans="1:24" ht="25.5">
      <c r="A725" s="189" t="s">
        <v>260</v>
      </c>
      <c r="B725" s="1" t="s">
        <v>402</v>
      </c>
      <c r="C725" s="1" t="s">
        <v>18</v>
      </c>
      <c r="D725" s="1" t="s">
        <v>13</v>
      </c>
      <c r="E725" s="1" t="s">
        <v>82</v>
      </c>
      <c r="F725" s="1" t="s">
        <v>70</v>
      </c>
      <c r="G725" s="1" t="s">
        <v>148</v>
      </c>
      <c r="H725" s="1" t="s">
        <v>360</v>
      </c>
      <c r="I725" s="13" t="s">
        <v>94</v>
      </c>
      <c r="J725" s="81">
        <f>J726</f>
        <v>8645219</v>
      </c>
      <c r="K725" s="81">
        <f t="shared" ref="K725:O725" si="871">K726</f>
        <v>8759984.879999999</v>
      </c>
      <c r="L725" s="81">
        <f t="shared" si="871"/>
        <v>8379261.3900000006</v>
      </c>
      <c r="M725" s="81">
        <f t="shared" si="871"/>
        <v>200000</v>
      </c>
      <c r="N725" s="81">
        <f t="shared" si="871"/>
        <v>0</v>
      </c>
      <c r="O725" s="81">
        <f t="shared" si="871"/>
        <v>0</v>
      </c>
      <c r="P725" s="81">
        <f>P726</f>
        <v>8845219</v>
      </c>
      <c r="Q725" s="81">
        <f t="shared" ref="Q725:U725" si="872">Q726</f>
        <v>8459984.879999999</v>
      </c>
      <c r="R725" s="81">
        <f t="shared" si="872"/>
        <v>8079261.3900000006</v>
      </c>
      <c r="S725" s="81">
        <f t="shared" si="872"/>
        <v>549213.30000000005</v>
      </c>
      <c r="T725" s="81">
        <f t="shared" si="872"/>
        <v>0</v>
      </c>
      <c r="U725" s="81">
        <f t="shared" si="872"/>
        <v>0</v>
      </c>
      <c r="V725" s="81">
        <f t="shared" si="853"/>
        <v>9394432.3000000007</v>
      </c>
      <c r="W725" s="81">
        <f t="shared" si="853"/>
        <v>8459984.879999999</v>
      </c>
      <c r="X725" s="81">
        <f t="shared" si="853"/>
        <v>8079261.3900000006</v>
      </c>
    </row>
    <row r="726" spans="1:24" ht="25.5">
      <c r="A726" s="188" t="s">
        <v>98</v>
      </c>
      <c r="B726" s="1" t="s">
        <v>402</v>
      </c>
      <c r="C726" s="1" t="s">
        <v>18</v>
      </c>
      <c r="D726" s="1" t="s">
        <v>13</v>
      </c>
      <c r="E726" s="1" t="s">
        <v>82</v>
      </c>
      <c r="F726" s="1" t="s">
        <v>70</v>
      </c>
      <c r="G726" s="1" t="s">
        <v>148</v>
      </c>
      <c r="H726" s="1" t="s">
        <v>360</v>
      </c>
      <c r="I726" s="13" t="s">
        <v>95</v>
      </c>
      <c r="J726" s="81">
        <f>1349695+1926625+5368899</f>
        <v>8645219</v>
      </c>
      <c r="K726" s="81">
        <f>1394482.8+1896847.12+5468654.96</f>
        <v>8759984.879999999</v>
      </c>
      <c r="L726" s="81">
        <f>1441062.11+1915798.12+5022401.16</f>
        <v>8379261.3900000006</v>
      </c>
      <c r="M726" s="81">
        <f>500000-300000</f>
        <v>200000</v>
      </c>
      <c r="N726" s="81"/>
      <c r="O726" s="81"/>
      <c r="P726" s="81">
        <f>P1058+P1212+P1266+P1330+P1394+P1452+P1501+P1562+P1614+P1668+P1724</f>
        <v>8845219</v>
      </c>
      <c r="Q726" s="81">
        <f t="shared" ref="Q726:U726" si="873">Q1058+Q1212+Q1266+Q1330+Q1394+Q1452+Q1501+Q1562+Q1614+Q1668+Q1724</f>
        <v>8459984.879999999</v>
      </c>
      <c r="R726" s="81">
        <f t="shared" si="873"/>
        <v>8079261.3900000006</v>
      </c>
      <c r="S726" s="81">
        <f t="shared" si="873"/>
        <v>549213.30000000005</v>
      </c>
      <c r="T726" s="81">
        <f t="shared" si="873"/>
        <v>0</v>
      </c>
      <c r="U726" s="81">
        <f t="shared" si="873"/>
        <v>0</v>
      </c>
      <c r="V726" s="81">
        <f t="shared" si="853"/>
        <v>9394432.3000000007</v>
      </c>
      <c r="W726" s="81">
        <f t="shared" si="853"/>
        <v>8459984.879999999</v>
      </c>
      <c r="X726" s="81">
        <f t="shared" si="853"/>
        <v>8079261.3900000006</v>
      </c>
    </row>
    <row r="727" spans="1:24">
      <c r="A727" s="188" t="s">
        <v>80</v>
      </c>
      <c r="B727" s="1" t="s">
        <v>402</v>
      </c>
      <c r="C727" s="1" t="s">
        <v>18</v>
      </c>
      <c r="D727" s="1" t="s">
        <v>13</v>
      </c>
      <c r="E727" s="1" t="s">
        <v>82</v>
      </c>
      <c r="F727" s="1" t="s">
        <v>70</v>
      </c>
      <c r="G727" s="1" t="s">
        <v>148</v>
      </c>
      <c r="H727" s="1" t="s">
        <v>360</v>
      </c>
      <c r="I727" s="13" t="s">
        <v>77</v>
      </c>
      <c r="J727" s="81">
        <f>J728</f>
        <v>23000</v>
      </c>
      <c r="K727" s="81">
        <f t="shared" ref="K727:O727" si="874">K728</f>
        <v>23000</v>
      </c>
      <c r="L727" s="81">
        <f t="shared" si="874"/>
        <v>23000</v>
      </c>
      <c r="M727" s="81">
        <f t="shared" si="874"/>
        <v>0</v>
      </c>
      <c r="N727" s="81">
        <f t="shared" si="874"/>
        <v>0</v>
      </c>
      <c r="O727" s="81">
        <f t="shared" si="874"/>
        <v>0</v>
      </c>
      <c r="P727" s="81">
        <f>P728</f>
        <v>23000</v>
      </c>
      <c r="Q727" s="81">
        <f t="shared" ref="Q727:U727" si="875">Q728</f>
        <v>23000</v>
      </c>
      <c r="R727" s="81">
        <f t="shared" si="875"/>
        <v>23000</v>
      </c>
      <c r="S727" s="81">
        <f t="shared" si="875"/>
        <v>0</v>
      </c>
      <c r="T727" s="81">
        <f t="shared" si="875"/>
        <v>0</v>
      </c>
      <c r="U727" s="81">
        <f t="shared" si="875"/>
        <v>0</v>
      </c>
      <c r="V727" s="81">
        <f t="shared" si="853"/>
        <v>23000</v>
      </c>
      <c r="W727" s="81">
        <f t="shared" si="853"/>
        <v>23000</v>
      </c>
      <c r="X727" s="81">
        <f t="shared" si="853"/>
        <v>23000</v>
      </c>
    </row>
    <row r="728" spans="1:24">
      <c r="A728" s="190" t="s">
        <v>125</v>
      </c>
      <c r="B728" s="1" t="s">
        <v>402</v>
      </c>
      <c r="C728" s="1" t="s">
        <v>18</v>
      </c>
      <c r="D728" s="1" t="s">
        <v>13</v>
      </c>
      <c r="E728" s="1" t="s">
        <v>82</v>
      </c>
      <c r="F728" s="1" t="s">
        <v>70</v>
      </c>
      <c r="G728" s="1" t="s">
        <v>148</v>
      </c>
      <c r="H728" s="1" t="s">
        <v>360</v>
      </c>
      <c r="I728" s="13" t="s">
        <v>124</v>
      </c>
      <c r="J728" s="81">
        <v>23000</v>
      </c>
      <c r="K728" s="81">
        <v>23000</v>
      </c>
      <c r="L728" s="81">
        <v>23000</v>
      </c>
      <c r="M728" s="81"/>
      <c r="N728" s="81"/>
      <c r="O728" s="81"/>
      <c r="P728" s="81">
        <f>P1726</f>
        <v>23000</v>
      </c>
      <c r="Q728" s="81">
        <f t="shared" ref="Q728:U728" si="876">Q1726</f>
        <v>23000</v>
      </c>
      <c r="R728" s="81">
        <f t="shared" si="876"/>
        <v>23000</v>
      </c>
      <c r="S728" s="81">
        <f t="shared" si="876"/>
        <v>0</v>
      </c>
      <c r="T728" s="81">
        <f t="shared" si="876"/>
        <v>0</v>
      </c>
      <c r="U728" s="81">
        <f t="shared" si="876"/>
        <v>0</v>
      </c>
      <c r="V728" s="81">
        <f t="shared" si="853"/>
        <v>23000</v>
      </c>
      <c r="W728" s="81">
        <f t="shared" si="853"/>
        <v>23000</v>
      </c>
      <c r="X728" s="81">
        <f t="shared" si="853"/>
        <v>23000</v>
      </c>
    </row>
    <row r="729" spans="1:24">
      <c r="A729" s="190" t="s">
        <v>240</v>
      </c>
      <c r="B729" s="1" t="s">
        <v>402</v>
      </c>
      <c r="C729" s="1" t="s">
        <v>18</v>
      </c>
      <c r="D729" s="1" t="s">
        <v>13</v>
      </c>
      <c r="E729" s="1" t="s">
        <v>82</v>
      </c>
      <c r="F729" s="1" t="s">
        <v>70</v>
      </c>
      <c r="G729" s="1" t="s">
        <v>148</v>
      </c>
      <c r="H729" s="1" t="s">
        <v>241</v>
      </c>
      <c r="I729" s="13"/>
      <c r="J729" s="81"/>
      <c r="K729" s="81"/>
      <c r="L729" s="81"/>
      <c r="M729" s="81"/>
      <c r="N729" s="81"/>
      <c r="O729" s="81"/>
      <c r="P729" s="81">
        <f>P730</f>
        <v>0</v>
      </c>
      <c r="Q729" s="81">
        <f t="shared" ref="Q729:R730" si="877">Q730</f>
        <v>0</v>
      </c>
      <c r="R729" s="81">
        <f t="shared" si="877"/>
        <v>0</v>
      </c>
      <c r="S729" s="81">
        <f>S730</f>
        <v>300000</v>
      </c>
      <c r="T729" s="81">
        <f t="shared" ref="T729:U730" si="878">T730</f>
        <v>0</v>
      </c>
      <c r="U729" s="81">
        <f t="shared" si="878"/>
        <v>0</v>
      </c>
      <c r="V729" s="81">
        <f t="shared" si="853"/>
        <v>300000</v>
      </c>
      <c r="W729" s="81">
        <f t="shared" si="853"/>
        <v>0</v>
      </c>
      <c r="X729" s="81">
        <f t="shared" si="853"/>
        <v>0</v>
      </c>
    </row>
    <row r="730" spans="1:24" ht="25.5">
      <c r="A730" s="189" t="s">
        <v>260</v>
      </c>
      <c r="B730" s="1" t="s">
        <v>402</v>
      </c>
      <c r="C730" s="1" t="s">
        <v>18</v>
      </c>
      <c r="D730" s="1" t="s">
        <v>13</v>
      </c>
      <c r="E730" s="1" t="s">
        <v>82</v>
      </c>
      <c r="F730" s="1" t="s">
        <v>70</v>
      </c>
      <c r="G730" s="1" t="s">
        <v>148</v>
      </c>
      <c r="H730" s="1" t="s">
        <v>241</v>
      </c>
      <c r="I730" s="13" t="s">
        <v>94</v>
      </c>
      <c r="J730" s="81"/>
      <c r="K730" s="81"/>
      <c r="L730" s="81"/>
      <c r="M730" s="81"/>
      <c r="N730" s="81"/>
      <c r="O730" s="81"/>
      <c r="P730" s="81">
        <f>P731</f>
        <v>0</v>
      </c>
      <c r="Q730" s="81">
        <f t="shared" si="877"/>
        <v>0</v>
      </c>
      <c r="R730" s="81">
        <f t="shared" si="877"/>
        <v>0</v>
      </c>
      <c r="S730" s="81">
        <f>S731</f>
        <v>300000</v>
      </c>
      <c r="T730" s="81">
        <f t="shared" si="878"/>
        <v>0</v>
      </c>
      <c r="U730" s="81">
        <f t="shared" si="878"/>
        <v>0</v>
      </c>
      <c r="V730" s="81">
        <f t="shared" si="853"/>
        <v>300000</v>
      </c>
      <c r="W730" s="81">
        <f t="shared" si="853"/>
        <v>0</v>
      </c>
      <c r="X730" s="81">
        <f t="shared" si="853"/>
        <v>0</v>
      </c>
    </row>
    <row r="731" spans="1:24" ht="25.5">
      <c r="A731" s="188" t="s">
        <v>98</v>
      </c>
      <c r="B731" s="1" t="s">
        <v>402</v>
      </c>
      <c r="C731" s="1" t="s">
        <v>18</v>
      </c>
      <c r="D731" s="1" t="s">
        <v>13</v>
      </c>
      <c r="E731" s="1" t="s">
        <v>82</v>
      </c>
      <c r="F731" s="1" t="s">
        <v>70</v>
      </c>
      <c r="G731" s="1" t="s">
        <v>148</v>
      </c>
      <c r="H731" s="1" t="s">
        <v>241</v>
      </c>
      <c r="I731" s="13" t="s">
        <v>95</v>
      </c>
      <c r="J731" s="81"/>
      <c r="K731" s="81"/>
      <c r="L731" s="81"/>
      <c r="M731" s="81"/>
      <c r="N731" s="81"/>
      <c r="O731" s="81"/>
      <c r="P731" s="81">
        <f>P1215+P1504</f>
        <v>0</v>
      </c>
      <c r="Q731" s="81">
        <f t="shared" ref="Q731:U731" si="879">Q1215+Q1504</f>
        <v>0</v>
      </c>
      <c r="R731" s="81">
        <f t="shared" si="879"/>
        <v>0</v>
      </c>
      <c r="S731" s="81">
        <f t="shared" si="879"/>
        <v>300000</v>
      </c>
      <c r="T731" s="81">
        <f t="shared" si="879"/>
        <v>0</v>
      </c>
      <c r="U731" s="81">
        <f t="shared" si="879"/>
        <v>0</v>
      </c>
      <c r="V731" s="81">
        <f t="shared" ref="V731" si="880">P731+S731</f>
        <v>300000</v>
      </c>
      <c r="W731" s="81">
        <f t="shared" ref="W731" si="881">Q731+T731</f>
        <v>0</v>
      </c>
      <c r="X731" s="81">
        <f t="shared" ref="X731" si="882">R731+U731</f>
        <v>0</v>
      </c>
    </row>
    <row r="732" spans="1:24">
      <c r="A732" s="188"/>
      <c r="B732" s="1"/>
      <c r="C732" s="1"/>
      <c r="D732" s="1"/>
      <c r="E732" s="1"/>
      <c r="F732" s="1"/>
      <c r="G732" s="1"/>
      <c r="H732" s="1"/>
      <c r="I732" s="13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</row>
    <row r="733" spans="1:24" s="121" customFormat="1">
      <c r="A733" s="216" t="s">
        <v>239</v>
      </c>
      <c r="B733" s="15" t="s">
        <v>402</v>
      </c>
      <c r="C733" s="15" t="s">
        <v>18</v>
      </c>
      <c r="D733" s="15" t="s">
        <v>18</v>
      </c>
      <c r="E733" s="15"/>
      <c r="F733" s="15"/>
      <c r="G733" s="15"/>
      <c r="H733" s="15"/>
      <c r="I733" s="26"/>
      <c r="J733" s="101"/>
      <c r="K733" s="101"/>
      <c r="L733" s="101"/>
      <c r="M733" s="101"/>
      <c r="N733" s="101"/>
      <c r="O733" s="101"/>
      <c r="P733" s="101">
        <f>P734</f>
        <v>0</v>
      </c>
      <c r="Q733" s="101">
        <f t="shared" ref="Q733:R736" si="883">Q734</f>
        <v>0</v>
      </c>
      <c r="R733" s="101">
        <f t="shared" si="883"/>
        <v>0</v>
      </c>
      <c r="S733" s="101">
        <f>S734</f>
        <v>1200000</v>
      </c>
      <c r="T733" s="101">
        <f t="shared" ref="T733:U736" si="884">T734</f>
        <v>0</v>
      </c>
      <c r="U733" s="101">
        <f t="shared" si="884"/>
        <v>0</v>
      </c>
      <c r="V733" s="101">
        <f t="shared" ref="V733:X749" si="885">P733+S733</f>
        <v>1200000</v>
      </c>
      <c r="W733" s="101">
        <f t="shared" si="885"/>
        <v>0</v>
      </c>
      <c r="X733" s="101">
        <f t="shared" si="885"/>
        <v>0</v>
      </c>
    </row>
    <row r="734" spans="1:24" ht="38.25">
      <c r="A734" s="9" t="s">
        <v>292</v>
      </c>
      <c r="B734" s="1" t="s">
        <v>402</v>
      </c>
      <c r="C734" s="1" t="s">
        <v>18</v>
      </c>
      <c r="D734" s="1" t="s">
        <v>18</v>
      </c>
      <c r="E734" s="1" t="s">
        <v>357</v>
      </c>
      <c r="F734" s="1" t="s">
        <v>70</v>
      </c>
      <c r="G734" s="1" t="s">
        <v>148</v>
      </c>
      <c r="H734" s="1" t="s">
        <v>149</v>
      </c>
      <c r="I734" s="13"/>
      <c r="J734" s="81"/>
      <c r="K734" s="81"/>
      <c r="L734" s="81"/>
      <c r="M734" s="81"/>
      <c r="N734" s="81"/>
      <c r="O734" s="81"/>
      <c r="P734" s="81">
        <f>P735</f>
        <v>0</v>
      </c>
      <c r="Q734" s="81">
        <f t="shared" si="883"/>
        <v>0</v>
      </c>
      <c r="R734" s="81">
        <f t="shared" si="883"/>
        <v>0</v>
      </c>
      <c r="S734" s="81">
        <f>S735</f>
        <v>1200000</v>
      </c>
      <c r="T734" s="81">
        <f t="shared" si="884"/>
        <v>0</v>
      </c>
      <c r="U734" s="81">
        <f t="shared" si="884"/>
        <v>0</v>
      </c>
      <c r="V734" s="81">
        <f t="shared" si="885"/>
        <v>1200000</v>
      </c>
      <c r="W734" s="81">
        <f t="shared" si="885"/>
        <v>0</v>
      </c>
      <c r="X734" s="81">
        <f t="shared" si="885"/>
        <v>0</v>
      </c>
    </row>
    <row r="735" spans="1:24" ht="25.5">
      <c r="A735" s="188" t="s">
        <v>443</v>
      </c>
      <c r="B735" s="1" t="s">
        <v>402</v>
      </c>
      <c r="C735" s="1" t="s">
        <v>18</v>
      </c>
      <c r="D735" s="1" t="s">
        <v>18</v>
      </c>
      <c r="E735" s="1" t="s">
        <v>357</v>
      </c>
      <c r="F735" s="1" t="s">
        <v>70</v>
      </c>
      <c r="G735" s="1" t="s">
        <v>148</v>
      </c>
      <c r="H735" s="1" t="s">
        <v>442</v>
      </c>
      <c r="I735" s="13"/>
      <c r="J735" s="81"/>
      <c r="K735" s="81"/>
      <c r="L735" s="81"/>
      <c r="M735" s="81"/>
      <c r="N735" s="81"/>
      <c r="O735" s="81"/>
      <c r="P735" s="81">
        <f>P736</f>
        <v>0</v>
      </c>
      <c r="Q735" s="81">
        <f t="shared" si="883"/>
        <v>0</v>
      </c>
      <c r="R735" s="81">
        <f t="shared" si="883"/>
        <v>0</v>
      </c>
      <c r="S735" s="81">
        <f>S736</f>
        <v>1200000</v>
      </c>
      <c r="T735" s="81">
        <f t="shared" si="884"/>
        <v>0</v>
      </c>
      <c r="U735" s="81">
        <f t="shared" si="884"/>
        <v>0</v>
      </c>
      <c r="V735" s="81">
        <f t="shared" si="885"/>
        <v>1200000</v>
      </c>
      <c r="W735" s="81">
        <f t="shared" si="885"/>
        <v>0</v>
      </c>
      <c r="X735" s="81">
        <f t="shared" si="885"/>
        <v>0</v>
      </c>
    </row>
    <row r="736" spans="1:24" ht="25.5">
      <c r="A736" s="209" t="s">
        <v>120</v>
      </c>
      <c r="B736" s="1" t="s">
        <v>402</v>
      </c>
      <c r="C736" s="1" t="s">
        <v>18</v>
      </c>
      <c r="D736" s="1" t="s">
        <v>18</v>
      </c>
      <c r="E736" s="1" t="s">
        <v>357</v>
      </c>
      <c r="F736" s="1" t="s">
        <v>70</v>
      </c>
      <c r="G736" s="1" t="s">
        <v>148</v>
      </c>
      <c r="H736" s="1" t="s">
        <v>442</v>
      </c>
      <c r="I736" s="13" t="s">
        <v>118</v>
      </c>
      <c r="J736" s="81"/>
      <c r="K736" s="81"/>
      <c r="L736" s="81"/>
      <c r="M736" s="81"/>
      <c r="N736" s="81"/>
      <c r="O736" s="81"/>
      <c r="P736" s="81">
        <f>P737</f>
        <v>0</v>
      </c>
      <c r="Q736" s="81">
        <f t="shared" si="883"/>
        <v>0</v>
      </c>
      <c r="R736" s="81">
        <f t="shared" si="883"/>
        <v>0</v>
      </c>
      <c r="S736" s="81">
        <f>S737</f>
        <v>1200000</v>
      </c>
      <c r="T736" s="81">
        <f t="shared" si="884"/>
        <v>0</v>
      </c>
      <c r="U736" s="81">
        <f t="shared" si="884"/>
        <v>0</v>
      </c>
      <c r="V736" s="81">
        <f t="shared" si="885"/>
        <v>1200000</v>
      </c>
      <c r="W736" s="81">
        <f t="shared" si="885"/>
        <v>0</v>
      </c>
      <c r="X736" s="81">
        <f t="shared" si="885"/>
        <v>0</v>
      </c>
    </row>
    <row r="737" spans="1:24">
      <c r="A737" s="209" t="s">
        <v>121</v>
      </c>
      <c r="B737" s="1" t="s">
        <v>402</v>
      </c>
      <c r="C737" s="1" t="s">
        <v>18</v>
      </c>
      <c r="D737" s="1" t="s">
        <v>18</v>
      </c>
      <c r="E737" s="1" t="s">
        <v>357</v>
      </c>
      <c r="F737" s="1" t="s">
        <v>70</v>
      </c>
      <c r="G737" s="1" t="s">
        <v>148</v>
      </c>
      <c r="H737" s="1" t="s">
        <v>442</v>
      </c>
      <c r="I737" s="13" t="s">
        <v>119</v>
      </c>
      <c r="J737" s="81"/>
      <c r="K737" s="81"/>
      <c r="L737" s="81"/>
      <c r="M737" s="81"/>
      <c r="N737" s="81"/>
      <c r="O737" s="81"/>
      <c r="P737" s="81">
        <f>P1063</f>
        <v>0</v>
      </c>
      <c r="Q737" s="81">
        <f t="shared" ref="Q737:U737" si="886">Q1063</f>
        <v>0</v>
      </c>
      <c r="R737" s="81">
        <f t="shared" si="886"/>
        <v>0</v>
      </c>
      <c r="S737" s="81">
        <f t="shared" si="886"/>
        <v>1200000</v>
      </c>
      <c r="T737" s="81">
        <f t="shared" si="886"/>
        <v>0</v>
      </c>
      <c r="U737" s="81">
        <f t="shared" si="886"/>
        <v>0</v>
      </c>
      <c r="V737" s="81">
        <f t="shared" si="885"/>
        <v>1200000</v>
      </c>
      <c r="W737" s="81">
        <f t="shared" si="885"/>
        <v>0</v>
      </c>
      <c r="X737" s="81">
        <f t="shared" si="885"/>
        <v>0</v>
      </c>
    </row>
    <row r="738" spans="1:24">
      <c r="A738" s="209"/>
      <c r="B738" s="1"/>
      <c r="C738" s="1"/>
      <c r="D738" s="1"/>
      <c r="E738" s="1"/>
      <c r="F738" s="1"/>
      <c r="G738" s="1"/>
      <c r="H738" s="1"/>
      <c r="I738" s="13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</row>
    <row r="739" spans="1:24" ht="15.75">
      <c r="A739" s="187" t="s">
        <v>65</v>
      </c>
      <c r="B739" s="29" t="s">
        <v>402</v>
      </c>
      <c r="C739" s="29" t="s">
        <v>3</v>
      </c>
      <c r="D739" s="29"/>
      <c r="E739" s="29"/>
      <c r="F739" s="29"/>
      <c r="G739" s="29"/>
      <c r="H739" s="29"/>
      <c r="I739" s="32"/>
      <c r="J739" s="100">
        <f t="shared" ref="J739:O740" si="887">J740</f>
        <v>10869000</v>
      </c>
      <c r="K739" s="100">
        <f t="shared" si="887"/>
        <v>10869000</v>
      </c>
      <c r="L739" s="100">
        <f t="shared" si="887"/>
        <v>10869000</v>
      </c>
      <c r="M739" s="100">
        <f t="shared" si="887"/>
        <v>2133743.17</v>
      </c>
      <c r="N739" s="100">
        <f t="shared" si="887"/>
        <v>0</v>
      </c>
      <c r="O739" s="100">
        <f t="shared" si="887"/>
        <v>0</v>
      </c>
      <c r="P739" s="100">
        <f>P740</f>
        <v>13002743.17</v>
      </c>
      <c r="Q739" s="100">
        <f t="shared" ref="Q739:U740" si="888">Q740</f>
        <v>10869000</v>
      </c>
      <c r="R739" s="100">
        <f t="shared" si="888"/>
        <v>10869000</v>
      </c>
      <c r="S739" s="100">
        <f t="shared" si="888"/>
        <v>0</v>
      </c>
      <c r="T739" s="100">
        <f t="shared" si="888"/>
        <v>0</v>
      </c>
      <c r="U739" s="100">
        <f t="shared" si="888"/>
        <v>0</v>
      </c>
      <c r="V739" s="100">
        <f t="shared" si="885"/>
        <v>13002743.17</v>
      </c>
      <c r="W739" s="100">
        <f t="shared" si="885"/>
        <v>10869000</v>
      </c>
      <c r="X739" s="100">
        <f t="shared" si="885"/>
        <v>10869000</v>
      </c>
    </row>
    <row r="740" spans="1:24">
      <c r="A740" s="23" t="s">
        <v>217</v>
      </c>
      <c r="B740" s="15" t="s">
        <v>402</v>
      </c>
      <c r="C740" s="15" t="s">
        <v>3</v>
      </c>
      <c r="D740" s="15" t="s">
        <v>18</v>
      </c>
      <c r="E740" s="15"/>
      <c r="F740" s="15"/>
      <c r="G740" s="15"/>
      <c r="H740" s="15"/>
      <c r="I740" s="26"/>
      <c r="J740" s="101">
        <f t="shared" si="887"/>
        <v>10869000</v>
      </c>
      <c r="K740" s="101">
        <f t="shared" si="887"/>
        <v>10869000</v>
      </c>
      <c r="L740" s="101">
        <f t="shared" si="887"/>
        <v>10869000</v>
      </c>
      <c r="M740" s="101">
        <f t="shared" si="887"/>
        <v>2133743.17</v>
      </c>
      <c r="N740" s="101">
        <f t="shared" si="887"/>
        <v>0</v>
      </c>
      <c r="O740" s="101">
        <f t="shared" si="887"/>
        <v>0</v>
      </c>
      <c r="P740" s="101">
        <f>P741</f>
        <v>13002743.17</v>
      </c>
      <c r="Q740" s="101">
        <f t="shared" si="888"/>
        <v>10869000</v>
      </c>
      <c r="R740" s="101">
        <f t="shared" si="888"/>
        <v>10869000</v>
      </c>
      <c r="S740" s="101">
        <f t="shared" si="888"/>
        <v>0</v>
      </c>
      <c r="T740" s="101">
        <f t="shared" si="888"/>
        <v>0</v>
      </c>
      <c r="U740" s="101">
        <f t="shared" si="888"/>
        <v>0</v>
      </c>
      <c r="V740" s="101">
        <f t="shared" si="885"/>
        <v>13002743.17</v>
      </c>
      <c r="W740" s="101">
        <f t="shared" si="885"/>
        <v>10869000</v>
      </c>
      <c r="X740" s="101">
        <f t="shared" si="885"/>
        <v>10869000</v>
      </c>
    </row>
    <row r="741" spans="1:24" ht="38.25">
      <c r="A741" s="9" t="s">
        <v>292</v>
      </c>
      <c r="B741" s="1" t="s">
        <v>402</v>
      </c>
      <c r="C741" s="1" t="s">
        <v>3</v>
      </c>
      <c r="D741" s="1" t="s">
        <v>18</v>
      </c>
      <c r="E741" s="1" t="s">
        <v>357</v>
      </c>
      <c r="F741" s="1" t="s">
        <v>70</v>
      </c>
      <c r="G741" s="1" t="s">
        <v>148</v>
      </c>
      <c r="H741" s="1" t="s">
        <v>149</v>
      </c>
      <c r="I741" s="13"/>
      <c r="J741" s="81">
        <f>+J745+J742+J748</f>
        <v>10869000</v>
      </c>
      <c r="K741" s="81">
        <f t="shared" ref="K741:O741" si="889">+K745+K742+K748</f>
        <v>10869000</v>
      </c>
      <c r="L741" s="81">
        <f t="shared" si="889"/>
        <v>10869000</v>
      </c>
      <c r="M741" s="81">
        <f t="shared" si="889"/>
        <v>2133743.17</v>
      </c>
      <c r="N741" s="81">
        <f t="shared" si="889"/>
        <v>0</v>
      </c>
      <c r="O741" s="81">
        <f t="shared" si="889"/>
        <v>0</v>
      </c>
      <c r="P741" s="81">
        <f>P742+P745+P748</f>
        <v>13002743.17</v>
      </c>
      <c r="Q741" s="81">
        <f t="shared" ref="Q741:R741" si="890">Q742+Q745+Q748</f>
        <v>10869000</v>
      </c>
      <c r="R741" s="81">
        <f t="shared" si="890"/>
        <v>10869000</v>
      </c>
      <c r="S741" s="81">
        <f t="shared" ref="S741:U741" si="891">+S745+S742+S748</f>
        <v>0</v>
      </c>
      <c r="T741" s="81">
        <f t="shared" si="891"/>
        <v>0</v>
      </c>
      <c r="U741" s="81">
        <f t="shared" si="891"/>
        <v>0</v>
      </c>
      <c r="V741" s="81">
        <f t="shared" si="885"/>
        <v>13002743.17</v>
      </c>
      <c r="W741" s="81">
        <f t="shared" si="885"/>
        <v>10869000</v>
      </c>
      <c r="X741" s="81">
        <f t="shared" si="885"/>
        <v>10869000</v>
      </c>
    </row>
    <row r="742" spans="1:24" ht="30.75" customHeight="1">
      <c r="A742" s="188" t="s">
        <v>373</v>
      </c>
      <c r="B742" s="1" t="s">
        <v>402</v>
      </c>
      <c r="C742" s="1" t="s">
        <v>3</v>
      </c>
      <c r="D742" s="1" t="s">
        <v>18</v>
      </c>
      <c r="E742" s="1" t="s">
        <v>357</v>
      </c>
      <c r="F742" s="1" t="s">
        <v>70</v>
      </c>
      <c r="G742" s="1" t="s">
        <v>148</v>
      </c>
      <c r="H742" s="1" t="s">
        <v>372</v>
      </c>
      <c r="I742" s="13"/>
      <c r="J742" s="81">
        <f>J743</f>
        <v>5869000</v>
      </c>
      <c r="K742" s="81">
        <f t="shared" ref="K742:O743" si="892">K743</f>
        <v>8469000</v>
      </c>
      <c r="L742" s="81">
        <f t="shared" si="892"/>
        <v>9219000</v>
      </c>
      <c r="M742" s="81">
        <f t="shared" si="892"/>
        <v>2133743.17</v>
      </c>
      <c r="N742" s="81">
        <f t="shared" si="892"/>
        <v>0</v>
      </c>
      <c r="O742" s="81">
        <f t="shared" si="892"/>
        <v>0</v>
      </c>
      <c r="P742" s="81">
        <f>P743</f>
        <v>8002743.1699999999</v>
      </c>
      <c r="Q742" s="81">
        <f t="shared" ref="Q742:U743" si="893">Q743</f>
        <v>8469000</v>
      </c>
      <c r="R742" s="81">
        <f t="shared" si="893"/>
        <v>9219000</v>
      </c>
      <c r="S742" s="81">
        <f t="shared" si="893"/>
        <v>0</v>
      </c>
      <c r="T742" s="81">
        <f t="shared" si="893"/>
        <v>0</v>
      </c>
      <c r="U742" s="81">
        <f t="shared" si="893"/>
        <v>0</v>
      </c>
      <c r="V742" s="81">
        <f t="shared" si="885"/>
        <v>8002743.1699999999</v>
      </c>
      <c r="W742" s="81">
        <f t="shared" si="885"/>
        <v>8469000</v>
      </c>
      <c r="X742" s="81">
        <f t="shared" si="885"/>
        <v>9219000</v>
      </c>
    </row>
    <row r="743" spans="1:24" ht="25.5">
      <c r="A743" s="189" t="s">
        <v>260</v>
      </c>
      <c r="B743" s="1" t="s">
        <v>402</v>
      </c>
      <c r="C743" s="1" t="s">
        <v>3</v>
      </c>
      <c r="D743" s="1" t="s">
        <v>18</v>
      </c>
      <c r="E743" s="1" t="s">
        <v>357</v>
      </c>
      <c r="F743" s="1" t="s">
        <v>70</v>
      </c>
      <c r="G743" s="1" t="s">
        <v>148</v>
      </c>
      <c r="H743" s="1" t="s">
        <v>372</v>
      </c>
      <c r="I743" s="13" t="s">
        <v>94</v>
      </c>
      <c r="J743" s="81">
        <f>J744</f>
        <v>5869000</v>
      </c>
      <c r="K743" s="81">
        <f t="shared" si="892"/>
        <v>8469000</v>
      </c>
      <c r="L743" s="81">
        <f t="shared" si="892"/>
        <v>9219000</v>
      </c>
      <c r="M743" s="81">
        <f t="shared" si="892"/>
        <v>2133743.17</v>
      </c>
      <c r="N743" s="81">
        <f t="shared" si="892"/>
        <v>0</v>
      </c>
      <c r="O743" s="81">
        <f t="shared" si="892"/>
        <v>0</v>
      </c>
      <c r="P743" s="81">
        <f>P744</f>
        <v>8002743.1699999999</v>
      </c>
      <c r="Q743" s="81">
        <f t="shared" si="893"/>
        <v>8469000</v>
      </c>
      <c r="R743" s="81">
        <f t="shared" si="893"/>
        <v>9219000</v>
      </c>
      <c r="S743" s="81">
        <f t="shared" si="893"/>
        <v>0</v>
      </c>
      <c r="T743" s="81">
        <f t="shared" si="893"/>
        <v>0</v>
      </c>
      <c r="U743" s="81">
        <f t="shared" si="893"/>
        <v>0</v>
      </c>
      <c r="V743" s="81">
        <f t="shared" si="885"/>
        <v>8002743.1699999999</v>
      </c>
      <c r="W743" s="81">
        <f t="shared" si="885"/>
        <v>8469000</v>
      </c>
      <c r="X743" s="81">
        <f t="shared" si="885"/>
        <v>9219000</v>
      </c>
    </row>
    <row r="744" spans="1:24" ht="25.5">
      <c r="A744" s="188" t="s">
        <v>98</v>
      </c>
      <c r="B744" s="1" t="s">
        <v>402</v>
      </c>
      <c r="C744" s="1" t="s">
        <v>3</v>
      </c>
      <c r="D744" s="1" t="s">
        <v>18</v>
      </c>
      <c r="E744" s="1" t="s">
        <v>357</v>
      </c>
      <c r="F744" s="1" t="s">
        <v>70</v>
      </c>
      <c r="G744" s="1" t="s">
        <v>148</v>
      </c>
      <c r="H744" s="1" t="s">
        <v>372</v>
      </c>
      <c r="I744" s="13" t="s">
        <v>95</v>
      </c>
      <c r="J744" s="81">
        <v>5869000</v>
      </c>
      <c r="K744" s="81">
        <v>8469000</v>
      </c>
      <c r="L744" s="81">
        <v>9219000</v>
      </c>
      <c r="M744" s="81">
        <v>2133743.17</v>
      </c>
      <c r="N744" s="81"/>
      <c r="O744" s="81"/>
      <c r="P744" s="81">
        <f>P1069</f>
        <v>8002743.1699999999</v>
      </c>
      <c r="Q744" s="81">
        <f t="shared" ref="Q744:U744" si="894">Q1069</f>
        <v>8469000</v>
      </c>
      <c r="R744" s="81">
        <f t="shared" si="894"/>
        <v>9219000</v>
      </c>
      <c r="S744" s="81">
        <f t="shared" si="894"/>
        <v>0</v>
      </c>
      <c r="T744" s="81">
        <f t="shared" si="894"/>
        <v>0</v>
      </c>
      <c r="U744" s="81">
        <f t="shared" si="894"/>
        <v>0</v>
      </c>
      <c r="V744" s="81">
        <f t="shared" si="885"/>
        <v>8002743.1699999999</v>
      </c>
      <c r="W744" s="81">
        <f t="shared" si="885"/>
        <v>8469000</v>
      </c>
      <c r="X744" s="81">
        <f t="shared" si="885"/>
        <v>9219000</v>
      </c>
    </row>
    <row r="745" spans="1:24" ht="20.25" customHeight="1">
      <c r="A745" s="188" t="s">
        <v>371</v>
      </c>
      <c r="B745" s="1" t="s">
        <v>402</v>
      </c>
      <c r="C745" s="1" t="s">
        <v>3</v>
      </c>
      <c r="D745" s="1" t="s">
        <v>18</v>
      </c>
      <c r="E745" s="1" t="s">
        <v>357</v>
      </c>
      <c r="F745" s="1" t="s">
        <v>70</v>
      </c>
      <c r="G745" s="1" t="s">
        <v>148</v>
      </c>
      <c r="H745" s="1" t="s">
        <v>370</v>
      </c>
      <c r="I745" s="13"/>
      <c r="J745" s="81">
        <f>J746</f>
        <v>4850000</v>
      </c>
      <c r="K745" s="81">
        <f t="shared" ref="K745:O746" si="895">K746</f>
        <v>2250000</v>
      </c>
      <c r="L745" s="81">
        <f t="shared" si="895"/>
        <v>1500000</v>
      </c>
      <c r="M745" s="81">
        <f t="shared" si="895"/>
        <v>0</v>
      </c>
      <c r="N745" s="81">
        <f t="shared" si="895"/>
        <v>0</v>
      </c>
      <c r="O745" s="81">
        <f t="shared" si="895"/>
        <v>0</v>
      </c>
      <c r="P745" s="81">
        <f>P746</f>
        <v>4850000</v>
      </c>
      <c r="Q745" s="81">
        <f t="shared" ref="Q745:U746" si="896">Q746</f>
        <v>2250000</v>
      </c>
      <c r="R745" s="81">
        <f t="shared" si="896"/>
        <v>1500000</v>
      </c>
      <c r="S745" s="81">
        <f t="shared" si="896"/>
        <v>0</v>
      </c>
      <c r="T745" s="81">
        <f t="shared" si="896"/>
        <v>0</v>
      </c>
      <c r="U745" s="81">
        <f t="shared" si="896"/>
        <v>0</v>
      </c>
      <c r="V745" s="81">
        <f t="shared" si="885"/>
        <v>4850000</v>
      </c>
      <c r="W745" s="81">
        <f t="shared" si="885"/>
        <v>2250000</v>
      </c>
      <c r="X745" s="81">
        <f t="shared" si="885"/>
        <v>1500000</v>
      </c>
    </row>
    <row r="746" spans="1:24" ht="25.5">
      <c r="A746" s="189" t="s">
        <v>260</v>
      </c>
      <c r="B746" s="1" t="s">
        <v>402</v>
      </c>
      <c r="C746" s="1" t="s">
        <v>3</v>
      </c>
      <c r="D746" s="1" t="s">
        <v>18</v>
      </c>
      <c r="E746" s="1" t="s">
        <v>357</v>
      </c>
      <c r="F746" s="1" t="s">
        <v>70</v>
      </c>
      <c r="G746" s="1" t="s">
        <v>148</v>
      </c>
      <c r="H746" s="1" t="s">
        <v>370</v>
      </c>
      <c r="I746" s="13" t="s">
        <v>94</v>
      </c>
      <c r="J746" s="81">
        <f>J747</f>
        <v>4850000</v>
      </c>
      <c r="K746" s="81">
        <f t="shared" si="895"/>
        <v>2250000</v>
      </c>
      <c r="L746" s="81">
        <f t="shared" si="895"/>
        <v>1500000</v>
      </c>
      <c r="M746" s="81">
        <f t="shared" si="895"/>
        <v>0</v>
      </c>
      <c r="N746" s="81">
        <f t="shared" si="895"/>
        <v>0</v>
      </c>
      <c r="O746" s="81">
        <f t="shared" si="895"/>
        <v>0</v>
      </c>
      <c r="P746" s="81">
        <f>P747</f>
        <v>4850000</v>
      </c>
      <c r="Q746" s="81">
        <f t="shared" si="896"/>
        <v>2250000</v>
      </c>
      <c r="R746" s="81">
        <f t="shared" si="896"/>
        <v>1500000</v>
      </c>
      <c r="S746" s="81">
        <f t="shared" si="896"/>
        <v>0</v>
      </c>
      <c r="T746" s="81">
        <f t="shared" si="896"/>
        <v>0</v>
      </c>
      <c r="U746" s="81">
        <f t="shared" si="896"/>
        <v>0</v>
      </c>
      <c r="V746" s="81">
        <f t="shared" si="885"/>
        <v>4850000</v>
      </c>
      <c r="W746" s="81">
        <f t="shared" si="885"/>
        <v>2250000</v>
      </c>
      <c r="X746" s="81">
        <f t="shared" si="885"/>
        <v>1500000</v>
      </c>
    </row>
    <row r="747" spans="1:24" ht="25.5">
      <c r="A747" s="188" t="s">
        <v>98</v>
      </c>
      <c r="B747" s="1" t="s">
        <v>402</v>
      </c>
      <c r="C747" s="1" t="s">
        <v>3</v>
      </c>
      <c r="D747" s="1" t="s">
        <v>18</v>
      </c>
      <c r="E747" s="1" t="s">
        <v>357</v>
      </c>
      <c r="F747" s="1" t="s">
        <v>70</v>
      </c>
      <c r="G747" s="1" t="s">
        <v>148</v>
      </c>
      <c r="H747" s="1" t="s">
        <v>370</v>
      </c>
      <c r="I747" s="13" t="s">
        <v>95</v>
      </c>
      <c r="J747" s="81">
        <v>4850000</v>
      </c>
      <c r="K747" s="81">
        <v>2250000</v>
      </c>
      <c r="L747" s="81">
        <v>1500000</v>
      </c>
      <c r="M747" s="81"/>
      <c r="N747" s="81"/>
      <c r="O747" s="81"/>
      <c r="P747" s="81">
        <f>P1072</f>
        <v>4850000</v>
      </c>
      <c r="Q747" s="81">
        <f t="shared" ref="Q747:U747" si="897">Q1072</f>
        <v>2250000</v>
      </c>
      <c r="R747" s="81">
        <f t="shared" si="897"/>
        <v>1500000</v>
      </c>
      <c r="S747" s="81">
        <f t="shared" si="897"/>
        <v>0</v>
      </c>
      <c r="T747" s="81">
        <f t="shared" si="897"/>
        <v>0</v>
      </c>
      <c r="U747" s="81">
        <f t="shared" si="897"/>
        <v>0</v>
      </c>
      <c r="V747" s="81">
        <f t="shared" si="885"/>
        <v>4850000</v>
      </c>
      <c r="W747" s="81">
        <f t="shared" si="885"/>
        <v>2250000</v>
      </c>
      <c r="X747" s="81">
        <f t="shared" si="885"/>
        <v>1500000</v>
      </c>
    </row>
    <row r="748" spans="1:24">
      <c r="A748" s="188" t="s">
        <v>384</v>
      </c>
      <c r="B748" s="1" t="s">
        <v>402</v>
      </c>
      <c r="C748" s="1" t="s">
        <v>3</v>
      </c>
      <c r="D748" s="1" t="s">
        <v>18</v>
      </c>
      <c r="E748" s="1" t="s">
        <v>357</v>
      </c>
      <c r="F748" s="1" t="s">
        <v>70</v>
      </c>
      <c r="G748" s="1" t="s">
        <v>148</v>
      </c>
      <c r="H748" s="1" t="s">
        <v>383</v>
      </c>
      <c r="I748" s="13"/>
      <c r="J748" s="81">
        <f>J749</f>
        <v>150000</v>
      </c>
      <c r="K748" s="81">
        <f t="shared" ref="K748:O749" si="898">K749</f>
        <v>150000</v>
      </c>
      <c r="L748" s="81">
        <f t="shared" si="898"/>
        <v>150000</v>
      </c>
      <c r="M748" s="81">
        <f t="shared" si="898"/>
        <v>0</v>
      </c>
      <c r="N748" s="81">
        <f t="shared" si="898"/>
        <v>0</v>
      </c>
      <c r="O748" s="81">
        <f t="shared" si="898"/>
        <v>0</v>
      </c>
      <c r="P748" s="81">
        <f>P749</f>
        <v>150000</v>
      </c>
      <c r="Q748" s="81">
        <f t="shared" ref="Q748:U749" si="899">Q749</f>
        <v>150000</v>
      </c>
      <c r="R748" s="81">
        <f t="shared" si="899"/>
        <v>150000</v>
      </c>
      <c r="S748" s="81">
        <f t="shared" si="899"/>
        <v>0</v>
      </c>
      <c r="T748" s="81">
        <f t="shared" si="899"/>
        <v>0</v>
      </c>
      <c r="U748" s="81">
        <f t="shared" si="899"/>
        <v>0</v>
      </c>
      <c r="V748" s="81">
        <f t="shared" si="885"/>
        <v>150000</v>
      </c>
      <c r="W748" s="81">
        <f t="shared" si="885"/>
        <v>150000</v>
      </c>
      <c r="X748" s="81">
        <f t="shared" si="885"/>
        <v>150000</v>
      </c>
    </row>
    <row r="749" spans="1:24" ht="25.5">
      <c r="A749" s="189" t="s">
        <v>260</v>
      </c>
      <c r="B749" s="1" t="s">
        <v>402</v>
      </c>
      <c r="C749" s="1" t="s">
        <v>3</v>
      </c>
      <c r="D749" s="1" t="s">
        <v>18</v>
      </c>
      <c r="E749" s="1" t="s">
        <v>357</v>
      </c>
      <c r="F749" s="1" t="s">
        <v>70</v>
      </c>
      <c r="G749" s="1" t="s">
        <v>148</v>
      </c>
      <c r="H749" s="1" t="s">
        <v>383</v>
      </c>
      <c r="I749" s="13" t="s">
        <v>94</v>
      </c>
      <c r="J749" s="81">
        <f>J750</f>
        <v>150000</v>
      </c>
      <c r="K749" s="81">
        <f t="shared" si="898"/>
        <v>150000</v>
      </c>
      <c r="L749" s="81">
        <f t="shared" si="898"/>
        <v>150000</v>
      </c>
      <c r="M749" s="81">
        <f t="shared" si="898"/>
        <v>0</v>
      </c>
      <c r="N749" s="81">
        <f t="shared" si="898"/>
        <v>0</v>
      </c>
      <c r="O749" s="81">
        <f t="shared" si="898"/>
        <v>0</v>
      </c>
      <c r="P749" s="81">
        <f>P750</f>
        <v>150000</v>
      </c>
      <c r="Q749" s="81">
        <f t="shared" si="899"/>
        <v>150000</v>
      </c>
      <c r="R749" s="81">
        <f t="shared" si="899"/>
        <v>150000</v>
      </c>
      <c r="S749" s="81">
        <f t="shared" si="899"/>
        <v>0</v>
      </c>
      <c r="T749" s="81">
        <f t="shared" si="899"/>
        <v>0</v>
      </c>
      <c r="U749" s="81">
        <f t="shared" si="899"/>
        <v>0</v>
      </c>
      <c r="V749" s="81">
        <f t="shared" si="885"/>
        <v>150000</v>
      </c>
      <c r="W749" s="81">
        <f t="shared" si="885"/>
        <v>150000</v>
      </c>
      <c r="X749" s="81">
        <f t="shared" si="885"/>
        <v>150000</v>
      </c>
    </row>
    <row r="750" spans="1:24" ht="25.5">
      <c r="A750" s="188" t="s">
        <v>98</v>
      </c>
      <c r="B750" s="1" t="s">
        <v>402</v>
      </c>
      <c r="C750" s="1" t="s">
        <v>3</v>
      </c>
      <c r="D750" s="1" t="s">
        <v>18</v>
      </c>
      <c r="E750" s="1" t="s">
        <v>357</v>
      </c>
      <c r="F750" s="1" t="s">
        <v>70</v>
      </c>
      <c r="G750" s="1" t="s">
        <v>148</v>
      </c>
      <c r="H750" s="1" t="s">
        <v>383</v>
      </c>
      <c r="I750" s="13" t="s">
        <v>95</v>
      </c>
      <c r="J750" s="81">
        <v>150000</v>
      </c>
      <c r="K750" s="81">
        <v>150000</v>
      </c>
      <c r="L750" s="81">
        <v>150000</v>
      </c>
      <c r="M750" s="81"/>
      <c r="N750" s="81"/>
      <c r="O750" s="81"/>
      <c r="P750" s="81">
        <f>P1075</f>
        <v>150000</v>
      </c>
      <c r="Q750" s="81">
        <f t="shared" ref="Q750:U750" si="900">Q1075</f>
        <v>150000</v>
      </c>
      <c r="R750" s="81">
        <f t="shared" si="900"/>
        <v>150000</v>
      </c>
      <c r="S750" s="81">
        <f t="shared" si="900"/>
        <v>0</v>
      </c>
      <c r="T750" s="81">
        <f t="shared" si="900"/>
        <v>0</v>
      </c>
      <c r="U750" s="81">
        <f t="shared" si="900"/>
        <v>0</v>
      </c>
      <c r="V750" s="81">
        <f t="shared" ref="V750:X767" si="901">P750+S750</f>
        <v>150000</v>
      </c>
      <c r="W750" s="81">
        <f t="shared" si="901"/>
        <v>150000</v>
      </c>
      <c r="X750" s="81">
        <f t="shared" si="901"/>
        <v>150000</v>
      </c>
    </row>
    <row r="751" spans="1:24">
      <c r="A751" s="188"/>
      <c r="B751" s="1"/>
      <c r="C751" s="1"/>
      <c r="D751" s="1"/>
      <c r="E751" s="1"/>
      <c r="F751" s="1"/>
      <c r="G751" s="1"/>
      <c r="H751" s="1"/>
      <c r="I751" s="13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</row>
    <row r="752" spans="1:24" s="218" customFormat="1" ht="15.75">
      <c r="A752" s="217" t="s">
        <v>24</v>
      </c>
      <c r="B752" s="29" t="s">
        <v>402</v>
      </c>
      <c r="C752" s="29" t="s">
        <v>2</v>
      </c>
      <c r="D752" s="29"/>
      <c r="E752" s="29"/>
      <c r="F752" s="29"/>
      <c r="G752" s="29"/>
      <c r="H752" s="29"/>
      <c r="I752" s="32"/>
      <c r="J752" s="100">
        <f t="shared" ref="J752:O757" si="902">J753</f>
        <v>0</v>
      </c>
      <c r="K752" s="100">
        <f t="shared" si="902"/>
        <v>0</v>
      </c>
      <c r="L752" s="100">
        <f t="shared" si="902"/>
        <v>0</v>
      </c>
      <c r="M752" s="100">
        <f t="shared" si="902"/>
        <v>46530000</v>
      </c>
      <c r="N752" s="100">
        <f t="shared" si="902"/>
        <v>0</v>
      </c>
      <c r="O752" s="100">
        <f t="shared" si="902"/>
        <v>0</v>
      </c>
      <c r="P752" s="100">
        <f>P753</f>
        <v>46530000</v>
      </c>
      <c r="Q752" s="100">
        <f t="shared" ref="Q752:U757" si="903">Q753</f>
        <v>0</v>
      </c>
      <c r="R752" s="100">
        <f t="shared" si="903"/>
        <v>0</v>
      </c>
      <c r="S752" s="100">
        <f t="shared" si="903"/>
        <v>9849224.5199999996</v>
      </c>
      <c r="T752" s="100">
        <f t="shared" si="903"/>
        <v>0</v>
      </c>
      <c r="U752" s="100">
        <f t="shared" si="903"/>
        <v>0</v>
      </c>
      <c r="V752" s="100">
        <f t="shared" si="901"/>
        <v>56379224.519999996</v>
      </c>
      <c r="W752" s="100">
        <f t="shared" si="901"/>
        <v>0</v>
      </c>
      <c r="X752" s="100">
        <f t="shared" si="901"/>
        <v>0</v>
      </c>
    </row>
    <row r="753" spans="1:24" s="121" customFormat="1">
      <c r="A753" s="216" t="s">
        <v>25</v>
      </c>
      <c r="B753" s="15" t="s">
        <v>402</v>
      </c>
      <c r="C753" s="15" t="s">
        <v>2</v>
      </c>
      <c r="D753" s="15" t="s">
        <v>17</v>
      </c>
      <c r="E753" s="15"/>
      <c r="F753" s="15"/>
      <c r="G753" s="15"/>
      <c r="H753" s="15"/>
      <c r="I753" s="26"/>
      <c r="J753" s="101">
        <f t="shared" si="902"/>
        <v>0</v>
      </c>
      <c r="K753" s="101">
        <f t="shared" si="902"/>
        <v>0</v>
      </c>
      <c r="L753" s="101">
        <f t="shared" si="902"/>
        <v>0</v>
      </c>
      <c r="M753" s="101">
        <f t="shared" si="902"/>
        <v>46530000</v>
      </c>
      <c r="N753" s="101">
        <f t="shared" si="902"/>
        <v>0</v>
      </c>
      <c r="O753" s="101">
        <f t="shared" si="902"/>
        <v>0</v>
      </c>
      <c r="P753" s="101">
        <f>P754</f>
        <v>46530000</v>
      </c>
      <c r="Q753" s="101">
        <f t="shared" si="903"/>
        <v>0</v>
      </c>
      <c r="R753" s="101">
        <f t="shared" si="903"/>
        <v>0</v>
      </c>
      <c r="S753" s="101">
        <f t="shared" si="903"/>
        <v>9849224.5199999996</v>
      </c>
      <c r="T753" s="101">
        <f t="shared" si="903"/>
        <v>0</v>
      </c>
      <c r="U753" s="101">
        <f t="shared" si="903"/>
        <v>0</v>
      </c>
      <c r="V753" s="101">
        <f t="shared" si="901"/>
        <v>56379224.519999996</v>
      </c>
      <c r="W753" s="101">
        <f t="shared" si="901"/>
        <v>0</v>
      </c>
      <c r="X753" s="101">
        <f t="shared" si="901"/>
        <v>0</v>
      </c>
    </row>
    <row r="754" spans="1:24" ht="38.25">
      <c r="A754" s="188" t="s">
        <v>289</v>
      </c>
      <c r="B754" s="1" t="s">
        <v>402</v>
      </c>
      <c r="C754" s="1" t="s">
        <v>2</v>
      </c>
      <c r="D754" s="1" t="s">
        <v>17</v>
      </c>
      <c r="E754" s="1" t="s">
        <v>27</v>
      </c>
      <c r="F754" s="1" t="s">
        <v>70</v>
      </c>
      <c r="G754" s="1" t="s">
        <v>148</v>
      </c>
      <c r="H754" s="1" t="s">
        <v>149</v>
      </c>
      <c r="I754" s="13"/>
      <c r="J754" s="81">
        <f t="shared" si="902"/>
        <v>0</v>
      </c>
      <c r="K754" s="81">
        <f t="shared" si="902"/>
        <v>0</v>
      </c>
      <c r="L754" s="81">
        <f t="shared" si="902"/>
        <v>0</v>
      </c>
      <c r="M754" s="81">
        <f t="shared" si="902"/>
        <v>46530000</v>
      </c>
      <c r="N754" s="81">
        <f t="shared" si="902"/>
        <v>0</v>
      </c>
      <c r="O754" s="81">
        <f t="shared" si="902"/>
        <v>0</v>
      </c>
      <c r="P754" s="81">
        <f>P755</f>
        <v>46530000</v>
      </c>
      <c r="Q754" s="81">
        <f t="shared" si="903"/>
        <v>0</v>
      </c>
      <c r="R754" s="81">
        <f t="shared" si="903"/>
        <v>0</v>
      </c>
      <c r="S754" s="81">
        <f t="shared" si="903"/>
        <v>9849224.5199999996</v>
      </c>
      <c r="T754" s="81">
        <f t="shared" si="903"/>
        <v>0</v>
      </c>
      <c r="U754" s="81">
        <f t="shared" si="903"/>
        <v>0</v>
      </c>
      <c r="V754" s="81">
        <f t="shared" si="901"/>
        <v>56379224.519999996</v>
      </c>
      <c r="W754" s="81">
        <f t="shared" si="901"/>
        <v>0</v>
      </c>
      <c r="X754" s="81">
        <f t="shared" si="901"/>
        <v>0</v>
      </c>
    </row>
    <row r="755" spans="1:24">
      <c r="A755" s="188" t="s">
        <v>425</v>
      </c>
      <c r="B755" s="1" t="s">
        <v>402</v>
      </c>
      <c r="C755" s="1" t="s">
        <v>2</v>
      </c>
      <c r="D755" s="1" t="s">
        <v>17</v>
      </c>
      <c r="E755" s="1" t="s">
        <v>27</v>
      </c>
      <c r="F755" s="1" t="s">
        <v>134</v>
      </c>
      <c r="G755" s="1" t="s">
        <v>148</v>
      </c>
      <c r="H755" s="1" t="s">
        <v>149</v>
      </c>
      <c r="I755" s="13"/>
      <c r="J755" s="81">
        <f t="shared" si="902"/>
        <v>0</v>
      </c>
      <c r="K755" s="81">
        <f t="shared" si="902"/>
        <v>0</v>
      </c>
      <c r="L755" s="81">
        <f t="shared" si="902"/>
        <v>0</v>
      </c>
      <c r="M755" s="81">
        <f t="shared" si="902"/>
        <v>46530000</v>
      </c>
      <c r="N755" s="81">
        <f t="shared" si="902"/>
        <v>0</v>
      </c>
      <c r="O755" s="81">
        <f t="shared" si="902"/>
        <v>0</v>
      </c>
      <c r="P755" s="81">
        <f>P756+P759</f>
        <v>46530000</v>
      </c>
      <c r="Q755" s="81">
        <f t="shared" ref="Q755:R755" si="904">Q756+Q759</f>
        <v>0</v>
      </c>
      <c r="R755" s="81">
        <f t="shared" si="904"/>
        <v>0</v>
      </c>
      <c r="S755" s="81">
        <f>S756+S759</f>
        <v>9849224.5199999996</v>
      </c>
      <c r="T755" s="81">
        <f t="shared" ref="T755:U755" si="905">T756+T759</f>
        <v>0</v>
      </c>
      <c r="U755" s="81">
        <f t="shared" si="905"/>
        <v>0</v>
      </c>
      <c r="V755" s="81">
        <f t="shared" si="901"/>
        <v>56379224.519999996</v>
      </c>
      <c r="W755" s="81">
        <f t="shared" si="901"/>
        <v>0</v>
      </c>
      <c r="X755" s="81">
        <f t="shared" si="901"/>
        <v>0</v>
      </c>
    </row>
    <row r="756" spans="1:24" ht="25.5">
      <c r="A756" s="188" t="s">
        <v>426</v>
      </c>
      <c r="B756" s="1" t="s">
        <v>402</v>
      </c>
      <c r="C756" s="1" t="s">
        <v>2</v>
      </c>
      <c r="D756" s="1" t="s">
        <v>17</v>
      </c>
      <c r="E756" s="1" t="s">
        <v>27</v>
      </c>
      <c r="F756" s="1" t="s">
        <v>134</v>
      </c>
      <c r="G756" s="1" t="s">
        <v>148</v>
      </c>
      <c r="H756" s="1" t="s">
        <v>424</v>
      </c>
      <c r="I756" s="13"/>
      <c r="J756" s="81">
        <f t="shared" si="902"/>
        <v>0</v>
      </c>
      <c r="K756" s="81">
        <f t="shared" si="902"/>
        <v>0</v>
      </c>
      <c r="L756" s="81">
        <f t="shared" si="902"/>
        <v>0</v>
      </c>
      <c r="M756" s="81">
        <f t="shared" si="902"/>
        <v>46530000</v>
      </c>
      <c r="N756" s="81">
        <f t="shared" si="902"/>
        <v>0</v>
      </c>
      <c r="O756" s="81">
        <f t="shared" si="902"/>
        <v>0</v>
      </c>
      <c r="P756" s="81">
        <f>P757</f>
        <v>46530000</v>
      </c>
      <c r="Q756" s="81">
        <f t="shared" ref="Q756:R757" si="906">Q757</f>
        <v>0</v>
      </c>
      <c r="R756" s="81">
        <f t="shared" si="906"/>
        <v>0</v>
      </c>
      <c r="S756" s="81">
        <f t="shared" si="903"/>
        <v>-16030000</v>
      </c>
      <c r="T756" s="81">
        <f t="shared" si="903"/>
        <v>0</v>
      </c>
      <c r="U756" s="81">
        <f t="shared" si="903"/>
        <v>0</v>
      </c>
      <c r="V756" s="81">
        <f t="shared" si="901"/>
        <v>30500000</v>
      </c>
      <c r="W756" s="81">
        <f t="shared" si="901"/>
        <v>0</v>
      </c>
      <c r="X756" s="81">
        <f t="shared" si="901"/>
        <v>0</v>
      </c>
    </row>
    <row r="757" spans="1:24" ht="25.5">
      <c r="A757" s="209" t="s">
        <v>120</v>
      </c>
      <c r="B757" s="1" t="s">
        <v>402</v>
      </c>
      <c r="C757" s="1" t="s">
        <v>2</v>
      </c>
      <c r="D757" s="1" t="s">
        <v>17</v>
      </c>
      <c r="E757" s="1" t="s">
        <v>27</v>
      </c>
      <c r="F757" s="1" t="s">
        <v>134</v>
      </c>
      <c r="G757" s="1" t="s">
        <v>148</v>
      </c>
      <c r="H757" s="1" t="s">
        <v>424</v>
      </c>
      <c r="I757" s="13" t="s">
        <v>118</v>
      </c>
      <c r="J757" s="81">
        <f t="shared" si="902"/>
        <v>0</v>
      </c>
      <c r="K757" s="81">
        <f t="shared" si="902"/>
        <v>0</v>
      </c>
      <c r="L757" s="81">
        <f t="shared" si="902"/>
        <v>0</v>
      </c>
      <c r="M757" s="81">
        <f t="shared" si="902"/>
        <v>46530000</v>
      </c>
      <c r="N757" s="81">
        <f t="shared" si="902"/>
        <v>0</v>
      </c>
      <c r="O757" s="81">
        <f t="shared" si="902"/>
        <v>0</v>
      </c>
      <c r="P757" s="81">
        <f>P758</f>
        <v>46530000</v>
      </c>
      <c r="Q757" s="81">
        <f t="shared" si="906"/>
        <v>0</v>
      </c>
      <c r="R757" s="81">
        <f t="shared" si="906"/>
        <v>0</v>
      </c>
      <c r="S757" s="81">
        <f t="shared" si="903"/>
        <v>-16030000</v>
      </c>
      <c r="T757" s="81">
        <f t="shared" si="903"/>
        <v>0</v>
      </c>
      <c r="U757" s="81">
        <f t="shared" si="903"/>
        <v>0</v>
      </c>
      <c r="V757" s="81">
        <f t="shared" si="901"/>
        <v>30500000</v>
      </c>
      <c r="W757" s="81">
        <f t="shared" si="901"/>
        <v>0</v>
      </c>
      <c r="X757" s="81">
        <f t="shared" si="901"/>
        <v>0</v>
      </c>
    </row>
    <row r="758" spans="1:24">
      <c r="A758" s="209" t="s">
        <v>121</v>
      </c>
      <c r="B758" s="1" t="s">
        <v>402</v>
      </c>
      <c r="C758" s="1" t="s">
        <v>2</v>
      </c>
      <c r="D758" s="1" t="s">
        <v>17</v>
      </c>
      <c r="E758" s="1" t="s">
        <v>27</v>
      </c>
      <c r="F758" s="1" t="s">
        <v>134</v>
      </c>
      <c r="G758" s="1" t="s">
        <v>148</v>
      </c>
      <c r="H758" s="1" t="s">
        <v>424</v>
      </c>
      <c r="I758" s="13" t="s">
        <v>119</v>
      </c>
      <c r="J758" s="81"/>
      <c r="K758" s="81"/>
      <c r="L758" s="81"/>
      <c r="M758" s="81">
        <v>46530000</v>
      </c>
      <c r="N758" s="81"/>
      <c r="O758" s="81"/>
      <c r="P758" s="81">
        <f>P1082</f>
        <v>46530000</v>
      </c>
      <c r="Q758" s="81">
        <f t="shared" ref="Q758:U758" si="907">Q1082</f>
        <v>0</v>
      </c>
      <c r="R758" s="81">
        <f t="shared" si="907"/>
        <v>0</v>
      </c>
      <c r="S758" s="81">
        <f t="shared" si="907"/>
        <v>-16030000</v>
      </c>
      <c r="T758" s="81">
        <f t="shared" si="907"/>
        <v>0</v>
      </c>
      <c r="U758" s="81">
        <f t="shared" si="907"/>
        <v>0</v>
      </c>
      <c r="V758" s="81">
        <f t="shared" si="901"/>
        <v>30500000</v>
      </c>
      <c r="W758" s="81">
        <f t="shared" si="901"/>
        <v>0</v>
      </c>
      <c r="X758" s="81">
        <f t="shared" si="901"/>
        <v>0</v>
      </c>
    </row>
    <row r="759" spans="1:24" ht="25.5">
      <c r="A759" s="209" t="s">
        <v>445</v>
      </c>
      <c r="B759" s="1" t="s">
        <v>402</v>
      </c>
      <c r="C759" s="1" t="s">
        <v>2</v>
      </c>
      <c r="D759" s="1" t="s">
        <v>17</v>
      </c>
      <c r="E759" s="1" t="s">
        <v>27</v>
      </c>
      <c r="F759" s="1" t="s">
        <v>134</v>
      </c>
      <c r="G759" s="1" t="s">
        <v>148</v>
      </c>
      <c r="H759" s="1" t="s">
        <v>444</v>
      </c>
      <c r="I759" s="13"/>
      <c r="J759" s="81"/>
      <c r="K759" s="81"/>
      <c r="L759" s="81"/>
      <c r="M759" s="81"/>
      <c r="N759" s="81"/>
      <c r="O759" s="81"/>
      <c r="P759" s="81">
        <f>P760</f>
        <v>0</v>
      </c>
      <c r="Q759" s="81">
        <f t="shared" ref="Q759:R760" si="908">Q760</f>
        <v>0</v>
      </c>
      <c r="R759" s="81">
        <f t="shared" si="908"/>
        <v>0</v>
      </c>
      <c r="S759" s="81">
        <f>S760</f>
        <v>25879224.52</v>
      </c>
      <c r="T759" s="81">
        <f t="shared" ref="T759:U760" si="909">T760</f>
        <v>0</v>
      </c>
      <c r="U759" s="81">
        <f t="shared" si="909"/>
        <v>0</v>
      </c>
      <c r="V759" s="81">
        <f t="shared" si="901"/>
        <v>25879224.52</v>
      </c>
      <c r="W759" s="81">
        <f t="shared" si="901"/>
        <v>0</v>
      </c>
      <c r="X759" s="81">
        <f t="shared" si="901"/>
        <v>0</v>
      </c>
    </row>
    <row r="760" spans="1:24" ht="25.5">
      <c r="A760" s="209" t="s">
        <v>120</v>
      </c>
      <c r="B760" s="1" t="s">
        <v>402</v>
      </c>
      <c r="C760" s="1" t="s">
        <v>2</v>
      </c>
      <c r="D760" s="1" t="s">
        <v>17</v>
      </c>
      <c r="E760" s="1" t="s">
        <v>27</v>
      </c>
      <c r="F760" s="1" t="s">
        <v>134</v>
      </c>
      <c r="G760" s="1" t="s">
        <v>148</v>
      </c>
      <c r="H760" s="1" t="s">
        <v>444</v>
      </c>
      <c r="I760" s="13" t="s">
        <v>118</v>
      </c>
      <c r="J760" s="81"/>
      <c r="K760" s="81"/>
      <c r="L760" s="81"/>
      <c r="M760" s="81"/>
      <c r="N760" s="81"/>
      <c r="O760" s="81"/>
      <c r="P760" s="81">
        <f>P761</f>
        <v>0</v>
      </c>
      <c r="Q760" s="81">
        <f t="shared" si="908"/>
        <v>0</v>
      </c>
      <c r="R760" s="81">
        <f t="shared" si="908"/>
        <v>0</v>
      </c>
      <c r="S760" s="81">
        <f>S761</f>
        <v>25879224.52</v>
      </c>
      <c r="T760" s="81">
        <f t="shared" si="909"/>
        <v>0</v>
      </c>
      <c r="U760" s="81">
        <f t="shared" si="909"/>
        <v>0</v>
      </c>
      <c r="V760" s="81">
        <f t="shared" si="901"/>
        <v>25879224.52</v>
      </c>
      <c r="W760" s="81">
        <f t="shared" si="901"/>
        <v>0</v>
      </c>
      <c r="X760" s="81">
        <f t="shared" si="901"/>
        <v>0</v>
      </c>
    </row>
    <row r="761" spans="1:24">
      <c r="A761" s="209" t="s">
        <v>121</v>
      </c>
      <c r="B761" s="1" t="s">
        <v>402</v>
      </c>
      <c r="C761" s="1" t="s">
        <v>2</v>
      </c>
      <c r="D761" s="1" t="s">
        <v>17</v>
      </c>
      <c r="E761" s="1" t="s">
        <v>27</v>
      </c>
      <c r="F761" s="1" t="s">
        <v>134</v>
      </c>
      <c r="G761" s="1" t="s">
        <v>148</v>
      </c>
      <c r="H761" s="1" t="s">
        <v>444</v>
      </c>
      <c r="I761" s="13" t="s">
        <v>119</v>
      </c>
      <c r="J761" s="81"/>
      <c r="K761" s="81"/>
      <c r="L761" s="81"/>
      <c r="M761" s="81"/>
      <c r="N761" s="81"/>
      <c r="O761" s="81"/>
      <c r="P761" s="81">
        <f>P1085</f>
        <v>0</v>
      </c>
      <c r="Q761" s="81">
        <f t="shared" ref="Q761:U761" si="910">Q1085</f>
        <v>0</v>
      </c>
      <c r="R761" s="81">
        <f t="shared" si="910"/>
        <v>0</v>
      </c>
      <c r="S761" s="81">
        <f t="shared" si="910"/>
        <v>25879224.52</v>
      </c>
      <c r="T761" s="81">
        <f t="shared" si="910"/>
        <v>0</v>
      </c>
      <c r="U761" s="81">
        <f t="shared" si="910"/>
        <v>0</v>
      </c>
      <c r="V761" s="81">
        <f t="shared" si="901"/>
        <v>25879224.52</v>
      </c>
      <c r="W761" s="81">
        <f t="shared" si="901"/>
        <v>0</v>
      </c>
      <c r="X761" s="81">
        <f t="shared" si="901"/>
        <v>0</v>
      </c>
    </row>
    <row r="762" spans="1:24">
      <c r="A762" s="209"/>
      <c r="B762" s="1"/>
      <c r="C762" s="1"/>
      <c r="D762" s="1"/>
      <c r="E762" s="1"/>
      <c r="F762" s="1"/>
      <c r="G762" s="1"/>
      <c r="H762" s="1"/>
      <c r="I762" s="13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</row>
    <row r="763" spans="1:24" ht="15.75">
      <c r="A763" s="214" t="s">
        <v>128</v>
      </c>
      <c r="B763" s="25" t="s">
        <v>402</v>
      </c>
      <c r="C763" s="25" t="s">
        <v>14</v>
      </c>
      <c r="D763" s="25"/>
      <c r="E763" s="25"/>
      <c r="F763" s="25"/>
      <c r="G763" s="25"/>
      <c r="H763" s="25"/>
      <c r="I763" s="32"/>
      <c r="J763" s="100">
        <f t="shared" ref="J763:O772" si="911">J764</f>
        <v>672500</v>
      </c>
      <c r="K763" s="100">
        <f t="shared" si="911"/>
        <v>172500</v>
      </c>
      <c r="L763" s="100">
        <f t="shared" si="911"/>
        <v>57500</v>
      </c>
      <c r="M763" s="100">
        <f t="shared" si="911"/>
        <v>0</v>
      </c>
      <c r="N763" s="100">
        <f t="shared" si="911"/>
        <v>0</v>
      </c>
      <c r="O763" s="100">
        <f t="shared" si="911"/>
        <v>0</v>
      </c>
      <c r="P763" s="100">
        <f>P764</f>
        <v>672500</v>
      </c>
      <c r="Q763" s="100">
        <f t="shared" ref="Q763:U772" si="912">Q764</f>
        <v>172500</v>
      </c>
      <c r="R763" s="100">
        <f t="shared" si="912"/>
        <v>57500</v>
      </c>
      <c r="S763" s="100">
        <f t="shared" si="912"/>
        <v>0</v>
      </c>
      <c r="T763" s="100">
        <f t="shared" si="912"/>
        <v>0</v>
      </c>
      <c r="U763" s="100">
        <f t="shared" si="912"/>
        <v>0</v>
      </c>
      <c r="V763" s="100">
        <f t="shared" si="901"/>
        <v>672500</v>
      </c>
      <c r="W763" s="100">
        <f t="shared" si="901"/>
        <v>172500</v>
      </c>
      <c r="X763" s="100">
        <f t="shared" si="901"/>
        <v>57500</v>
      </c>
    </row>
    <row r="764" spans="1:24">
      <c r="A764" s="23" t="s">
        <v>129</v>
      </c>
      <c r="B764" s="14" t="s">
        <v>402</v>
      </c>
      <c r="C764" s="14" t="s">
        <v>14</v>
      </c>
      <c r="D764" s="14" t="s">
        <v>14</v>
      </c>
      <c r="E764" s="14"/>
      <c r="F764" s="14"/>
      <c r="G764" s="14"/>
      <c r="H764" s="14"/>
      <c r="I764" s="26"/>
      <c r="J764" s="101">
        <f>J765+J770</f>
        <v>672500</v>
      </c>
      <c r="K764" s="101">
        <f t="shared" ref="K764:O764" si="913">K765+K770</f>
        <v>172500</v>
      </c>
      <c r="L764" s="101">
        <f t="shared" si="913"/>
        <v>57500</v>
      </c>
      <c r="M764" s="101">
        <f t="shared" si="913"/>
        <v>0</v>
      </c>
      <c r="N764" s="101">
        <f t="shared" si="913"/>
        <v>0</v>
      </c>
      <c r="O764" s="101">
        <f t="shared" si="913"/>
        <v>0</v>
      </c>
      <c r="P764" s="101">
        <f>P765+P770</f>
        <v>672500</v>
      </c>
      <c r="Q764" s="101">
        <f t="shared" ref="Q764:U764" si="914">Q765+Q770</f>
        <v>172500</v>
      </c>
      <c r="R764" s="101">
        <f t="shared" si="914"/>
        <v>57500</v>
      </c>
      <c r="S764" s="101">
        <f t="shared" si="914"/>
        <v>0</v>
      </c>
      <c r="T764" s="101">
        <f t="shared" si="914"/>
        <v>0</v>
      </c>
      <c r="U764" s="101">
        <f t="shared" si="914"/>
        <v>0</v>
      </c>
      <c r="V764" s="101">
        <f t="shared" si="901"/>
        <v>672500</v>
      </c>
      <c r="W764" s="101">
        <f t="shared" si="901"/>
        <v>172500</v>
      </c>
      <c r="X764" s="101">
        <f t="shared" si="901"/>
        <v>57500</v>
      </c>
    </row>
    <row r="765" spans="1:24" ht="38.25">
      <c r="A765" s="9" t="s">
        <v>289</v>
      </c>
      <c r="B765" s="10" t="s">
        <v>402</v>
      </c>
      <c r="C765" s="10" t="s">
        <v>14</v>
      </c>
      <c r="D765" s="10" t="s">
        <v>14</v>
      </c>
      <c r="E765" s="59" t="s">
        <v>27</v>
      </c>
      <c r="F765" s="59" t="s">
        <v>70</v>
      </c>
      <c r="G765" s="59" t="s">
        <v>148</v>
      </c>
      <c r="H765" s="59" t="s">
        <v>149</v>
      </c>
      <c r="I765" s="13"/>
      <c r="J765" s="81">
        <f>J766</f>
        <v>500000</v>
      </c>
      <c r="K765" s="81">
        <f t="shared" ref="K765:O765" si="915">K766</f>
        <v>0</v>
      </c>
      <c r="L765" s="81">
        <f t="shared" si="915"/>
        <v>0</v>
      </c>
      <c r="M765" s="81">
        <f t="shared" si="915"/>
        <v>0</v>
      </c>
      <c r="N765" s="81">
        <f t="shared" si="915"/>
        <v>0</v>
      </c>
      <c r="O765" s="81">
        <f t="shared" si="915"/>
        <v>0</v>
      </c>
      <c r="P765" s="81">
        <f>P766</f>
        <v>500000</v>
      </c>
      <c r="Q765" s="81">
        <f t="shared" ref="Q765:U768" si="916">Q766</f>
        <v>0</v>
      </c>
      <c r="R765" s="81">
        <f t="shared" si="916"/>
        <v>0</v>
      </c>
      <c r="S765" s="81">
        <f t="shared" si="916"/>
        <v>0</v>
      </c>
      <c r="T765" s="81">
        <f t="shared" si="916"/>
        <v>0</v>
      </c>
      <c r="U765" s="81">
        <f t="shared" si="916"/>
        <v>0</v>
      </c>
      <c r="V765" s="81">
        <f t="shared" si="901"/>
        <v>500000</v>
      </c>
      <c r="W765" s="81">
        <f t="shared" si="901"/>
        <v>0</v>
      </c>
      <c r="X765" s="81">
        <f t="shared" si="901"/>
        <v>0</v>
      </c>
    </row>
    <row r="766" spans="1:24">
      <c r="A766" s="188" t="s">
        <v>224</v>
      </c>
      <c r="B766" s="10" t="s">
        <v>402</v>
      </c>
      <c r="C766" s="10" t="s">
        <v>14</v>
      </c>
      <c r="D766" s="10" t="s">
        <v>14</v>
      </c>
      <c r="E766" s="59" t="s">
        <v>27</v>
      </c>
      <c r="F766" s="59" t="s">
        <v>44</v>
      </c>
      <c r="G766" s="59" t="s">
        <v>148</v>
      </c>
      <c r="H766" s="59" t="s">
        <v>149</v>
      </c>
      <c r="I766" s="13"/>
      <c r="J766" s="81">
        <f t="shared" ref="J766:O768" si="917">J767</f>
        <v>500000</v>
      </c>
      <c r="K766" s="81">
        <f t="shared" si="917"/>
        <v>0</v>
      </c>
      <c r="L766" s="81">
        <f t="shared" si="917"/>
        <v>0</v>
      </c>
      <c r="M766" s="81">
        <f t="shared" si="917"/>
        <v>0</v>
      </c>
      <c r="N766" s="81">
        <f t="shared" si="917"/>
        <v>0</v>
      </c>
      <c r="O766" s="81">
        <f t="shared" si="917"/>
        <v>0</v>
      </c>
      <c r="P766" s="81">
        <f>P767</f>
        <v>500000</v>
      </c>
      <c r="Q766" s="81">
        <f t="shared" si="916"/>
        <v>0</v>
      </c>
      <c r="R766" s="81">
        <f t="shared" si="916"/>
        <v>0</v>
      </c>
      <c r="S766" s="81">
        <f t="shared" si="916"/>
        <v>0</v>
      </c>
      <c r="T766" s="81">
        <f t="shared" si="916"/>
        <v>0</v>
      </c>
      <c r="U766" s="81">
        <f t="shared" si="916"/>
        <v>0</v>
      </c>
      <c r="V766" s="81">
        <f t="shared" si="901"/>
        <v>500000</v>
      </c>
      <c r="W766" s="81">
        <f t="shared" si="901"/>
        <v>0</v>
      </c>
      <c r="X766" s="81">
        <f t="shared" si="901"/>
        <v>0</v>
      </c>
    </row>
    <row r="767" spans="1:24" ht="31.5" customHeight="1">
      <c r="A767" s="188" t="s">
        <v>212</v>
      </c>
      <c r="B767" s="10" t="s">
        <v>402</v>
      </c>
      <c r="C767" s="10" t="s">
        <v>14</v>
      </c>
      <c r="D767" s="10" t="s">
        <v>14</v>
      </c>
      <c r="E767" s="59" t="s">
        <v>27</v>
      </c>
      <c r="F767" s="59" t="s">
        <v>44</v>
      </c>
      <c r="G767" s="59" t="s">
        <v>148</v>
      </c>
      <c r="H767" s="59" t="s">
        <v>213</v>
      </c>
      <c r="I767" s="13"/>
      <c r="J767" s="81">
        <f t="shared" si="917"/>
        <v>500000</v>
      </c>
      <c r="K767" s="81">
        <f t="shared" si="917"/>
        <v>0</v>
      </c>
      <c r="L767" s="81">
        <f t="shared" si="917"/>
        <v>0</v>
      </c>
      <c r="M767" s="81">
        <f t="shared" si="917"/>
        <v>0</v>
      </c>
      <c r="N767" s="81">
        <f t="shared" si="917"/>
        <v>0</v>
      </c>
      <c r="O767" s="81">
        <f t="shared" si="917"/>
        <v>0</v>
      </c>
      <c r="P767" s="81">
        <f>P768</f>
        <v>500000</v>
      </c>
      <c r="Q767" s="81">
        <f t="shared" si="916"/>
        <v>0</v>
      </c>
      <c r="R767" s="81">
        <f t="shared" si="916"/>
        <v>0</v>
      </c>
      <c r="S767" s="81">
        <f t="shared" si="916"/>
        <v>0</v>
      </c>
      <c r="T767" s="81">
        <f t="shared" si="916"/>
        <v>0</v>
      </c>
      <c r="U767" s="81">
        <f t="shared" si="916"/>
        <v>0</v>
      </c>
      <c r="V767" s="81">
        <f t="shared" si="901"/>
        <v>500000</v>
      </c>
      <c r="W767" s="81">
        <f t="shared" si="901"/>
        <v>0</v>
      </c>
      <c r="X767" s="81">
        <f t="shared" si="901"/>
        <v>0</v>
      </c>
    </row>
    <row r="768" spans="1:24" ht="27.75" customHeight="1">
      <c r="A768" s="189" t="s">
        <v>260</v>
      </c>
      <c r="B768" s="10" t="s">
        <v>402</v>
      </c>
      <c r="C768" s="10" t="s">
        <v>14</v>
      </c>
      <c r="D768" s="10" t="s">
        <v>14</v>
      </c>
      <c r="E768" s="59" t="s">
        <v>27</v>
      </c>
      <c r="F768" s="59" t="s">
        <v>44</v>
      </c>
      <c r="G768" s="59" t="s">
        <v>148</v>
      </c>
      <c r="H768" s="59" t="s">
        <v>213</v>
      </c>
      <c r="I768" s="13" t="s">
        <v>94</v>
      </c>
      <c r="J768" s="81">
        <f t="shared" si="917"/>
        <v>500000</v>
      </c>
      <c r="K768" s="81">
        <f t="shared" si="917"/>
        <v>0</v>
      </c>
      <c r="L768" s="81">
        <f t="shared" si="917"/>
        <v>0</v>
      </c>
      <c r="M768" s="81">
        <f t="shared" si="917"/>
        <v>0</v>
      </c>
      <c r="N768" s="81">
        <f t="shared" si="917"/>
        <v>0</v>
      </c>
      <c r="O768" s="81">
        <f t="shared" si="917"/>
        <v>0</v>
      </c>
      <c r="P768" s="81">
        <f>P769</f>
        <v>500000</v>
      </c>
      <c r="Q768" s="81">
        <f t="shared" si="916"/>
        <v>0</v>
      </c>
      <c r="R768" s="81">
        <f t="shared" si="916"/>
        <v>0</v>
      </c>
      <c r="S768" s="81">
        <f t="shared" si="916"/>
        <v>0</v>
      </c>
      <c r="T768" s="81">
        <f t="shared" si="916"/>
        <v>0</v>
      </c>
      <c r="U768" s="81">
        <f t="shared" si="916"/>
        <v>0</v>
      </c>
      <c r="V768" s="81">
        <f t="shared" ref="V768:X785" si="918">P768+S768</f>
        <v>500000</v>
      </c>
      <c r="W768" s="81">
        <f t="shared" si="918"/>
        <v>0</v>
      </c>
      <c r="X768" s="81">
        <f t="shared" si="918"/>
        <v>0</v>
      </c>
    </row>
    <row r="769" spans="1:24" ht="25.5">
      <c r="A769" s="188" t="s">
        <v>98</v>
      </c>
      <c r="B769" s="10" t="s">
        <v>402</v>
      </c>
      <c r="C769" s="10" t="s">
        <v>14</v>
      </c>
      <c r="D769" s="10" t="s">
        <v>14</v>
      </c>
      <c r="E769" s="59" t="s">
        <v>27</v>
      </c>
      <c r="F769" s="59" t="s">
        <v>44</v>
      </c>
      <c r="G769" s="59" t="s">
        <v>148</v>
      </c>
      <c r="H769" s="59" t="s">
        <v>213</v>
      </c>
      <c r="I769" s="13" t="s">
        <v>95</v>
      </c>
      <c r="J769" s="81">
        <v>500000</v>
      </c>
      <c r="K769" s="81"/>
      <c r="L769" s="81"/>
      <c r="M769" s="81"/>
      <c r="N769" s="81"/>
      <c r="O769" s="81"/>
      <c r="P769" s="81">
        <f>P1092</f>
        <v>500000</v>
      </c>
      <c r="Q769" s="81">
        <f t="shared" ref="Q769:U769" si="919">Q1092</f>
        <v>0</v>
      </c>
      <c r="R769" s="81">
        <f t="shared" si="919"/>
        <v>0</v>
      </c>
      <c r="S769" s="81">
        <f t="shared" si="919"/>
        <v>0</v>
      </c>
      <c r="T769" s="81">
        <f t="shared" si="919"/>
        <v>0</v>
      </c>
      <c r="U769" s="81">
        <f t="shared" si="919"/>
        <v>0</v>
      </c>
      <c r="V769" s="81">
        <f t="shared" si="918"/>
        <v>500000</v>
      </c>
      <c r="W769" s="81">
        <f t="shared" si="918"/>
        <v>0</v>
      </c>
      <c r="X769" s="81">
        <f t="shared" si="918"/>
        <v>0</v>
      </c>
    </row>
    <row r="770" spans="1:24" ht="25.5">
      <c r="A770" s="292" t="s">
        <v>393</v>
      </c>
      <c r="B770" s="10" t="s">
        <v>402</v>
      </c>
      <c r="C770" s="10" t="s">
        <v>14</v>
      </c>
      <c r="D770" s="10" t="s">
        <v>14</v>
      </c>
      <c r="E770" s="10" t="s">
        <v>196</v>
      </c>
      <c r="F770" s="10" t="s">
        <v>70</v>
      </c>
      <c r="G770" s="10" t="s">
        <v>148</v>
      </c>
      <c r="H770" s="10" t="s">
        <v>149</v>
      </c>
      <c r="I770" s="13"/>
      <c r="J770" s="81">
        <f>J771</f>
        <v>172500</v>
      </c>
      <c r="K770" s="81">
        <f t="shared" ref="K770:O770" si="920">K771</f>
        <v>172500</v>
      </c>
      <c r="L770" s="81">
        <f t="shared" si="920"/>
        <v>57500</v>
      </c>
      <c r="M770" s="81">
        <f t="shared" si="920"/>
        <v>0</v>
      </c>
      <c r="N770" s="81">
        <f t="shared" si="920"/>
        <v>0</v>
      </c>
      <c r="O770" s="81">
        <f t="shared" si="920"/>
        <v>0</v>
      </c>
      <c r="P770" s="81">
        <f>P771</f>
        <v>172500</v>
      </c>
      <c r="Q770" s="81">
        <f t="shared" ref="Q770:U772" si="921">Q771</f>
        <v>172500</v>
      </c>
      <c r="R770" s="81">
        <f t="shared" si="921"/>
        <v>57500</v>
      </c>
      <c r="S770" s="81">
        <f t="shared" si="921"/>
        <v>0</v>
      </c>
      <c r="T770" s="81">
        <f t="shared" si="921"/>
        <v>0</v>
      </c>
      <c r="U770" s="81">
        <f t="shared" si="921"/>
        <v>0</v>
      </c>
      <c r="V770" s="81">
        <f t="shared" si="918"/>
        <v>172500</v>
      </c>
      <c r="W770" s="81">
        <f t="shared" si="918"/>
        <v>172500</v>
      </c>
      <c r="X770" s="81">
        <f t="shared" si="918"/>
        <v>57500</v>
      </c>
    </row>
    <row r="771" spans="1:24">
      <c r="A771" s="219" t="s">
        <v>197</v>
      </c>
      <c r="B771" s="10" t="s">
        <v>402</v>
      </c>
      <c r="C771" s="10" t="s">
        <v>14</v>
      </c>
      <c r="D771" s="10" t="s">
        <v>14</v>
      </c>
      <c r="E771" s="10" t="s">
        <v>196</v>
      </c>
      <c r="F771" s="10" t="s">
        <v>70</v>
      </c>
      <c r="G771" s="10" t="s">
        <v>148</v>
      </c>
      <c r="H771" s="10" t="s">
        <v>198</v>
      </c>
      <c r="I771" s="13"/>
      <c r="J771" s="81">
        <f t="shared" si="911"/>
        <v>172500</v>
      </c>
      <c r="K771" s="81">
        <f t="shared" si="911"/>
        <v>172500</v>
      </c>
      <c r="L771" s="81">
        <f t="shared" si="911"/>
        <v>57500</v>
      </c>
      <c r="M771" s="81">
        <f t="shared" si="911"/>
        <v>0</v>
      </c>
      <c r="N771" s="81">
        <f t="shared" si="911"/>
        <v>0</v>
      </c>
      <c r="O771" s="81">
        <f t="shared" si="911"/>
        <v>0</v>
      </c>
      <c r="P771" s="81">
        <f>P772</f>
        <v>172500</v>
      </c>
      <c r="Q771" s="81">
        <f t="shared" si="921"/>
        <v>172500</v>
      </c>
      <c r="R771" s="81">
        <f t="shared" si="921"/>
        <v>57500</v>
      </c>
      <c r="S771" s="81">
        <f t="shared" si="912"/>
        <v>0</v>
      </c>
      <c r="T771" s="81">
        <f t="shared" si="912"/>
        <v>0</v>
      </c>
      <c r="U771" s="81">
        <f t="shared" si="912"/>
        <v>0</v>
      </c>
      <c r="V771" s="81">
        <f t="shared" si="918"/>
        <v>172500</v>
      </c>
      <c r="W771" s="81">
        <f t="shared" si="918"/>
        <v>172500</v>
      </c>
      <c r="X771" s="81">
        <f t="shared" si="918"/>
        <v>57500</v>
      </c>
    </row>
    <row r="772" spans="1:24">
      <c r="A772" s="9" t="s">
        <v>100</v>
      </c>
      <c r="B772" s="10" t="s">
        <v>402</v>
      </c>
      <c r="C772" s="10" t="s">
        <v>14</v>
      </c>
      <c r="D772" s="10" t="s">
        <v>14</v>
      </c>
      <c r="E772" s="10" t="s">
        <v>196</v>
      </c>
      <c r="F772" s="10" t="s">
        <v>70</v>
      </c>
      <c r="G772" s="10" t="s">
        <v>148</v>
      </c>
      <c r="H772" s="10" t="s">
        <v>198</v>
      </c>
      <c r="I772" s="13" t="s">
        <v>99</v>
      </c>
      <c r="J772" s="81">
        <f t="shared" si="911"/>
        <v>172500</v>
      </c>
      <c r="K772" s="81">
        <f t="shared" si="911"/>
        <v>172500</v>
      </c>
      <c r="L772" s="81">
        <f t="shared" si="911"/>
        <v>57500</v>
      </c>
      <c r="M772" s="81">
        <f t="shared" si="911"/>
        <v>0</v>
      </c>
      <c r="N772" s="81">
        <f t="shared" si="911"/>
        <v>0</v>
      </c>
      <c r="O772" s="81">
        <f t="shared" si="911"/>
        <v>0</v>
      </c>
      <c r="P772" s="81">
        <f>P773</f>
        <v>172500</v>
      </c>
      <c r="Q772" s="81">
        <f t="shared" si="921"/>
        <v>172500</v>
      </c>
      <c r="R772" s="81">
        <f t="shared" si="921"/>
        <v>57500</v>
      </c>
      <c r="S772" s="81">
        <f t="shared" si="912"/>
        <v>0</v>
      </c>
      <c r="T772" s="81">
        <f t="shared" si="912"/>
        <v>0</v>
      </c>
      <c r="U772" s="81">
        <f t="shared" si="912"/>
        <v>0</v>
      </c>
      <c r="V772" s="81">
        <f t="shared" si="918"/>
        <v>172500</v>
      </c>
      <c r="W772" s="81">
        <f t="shared" si="918"/>
        <v>172500</v>
      </c>
      <c r="X772" s="81">
        <f t="shared" si="918"/>
        <v>57500</v>
      </c>
    </row>
    <row r="773" spans="1:24" ht="25.5">
      <c r="A773" s="9" t="s">
        <v>106</v>
      </c>
      <c r="B773" s="10" t="s">
        <v>402</v>
      </c>
      <c r="C773" s="10" t="s">
        <v>14</v>
      </c>
      <c r="D773" s="10" t="s">
        <v>14</v>
      </c>
      <c r="E773" s="10" t="s">
        <v>196</v>
      </c>
      <c r="F773" s="10" t="s">
        <v>70</v>
      </c>
      <c r="G773" s="10" t="s">
        <v>148</v>
      </c>
      <c r="H773" s="10" t="s">
        <v>198</v>
      </c>
      <c r="I773" s="13" t="s">
        <v>107</v>
      </c>
      <c r="J773" s="81">
        <v>172500</v>
      </c>
      <c r="K773" s="81">
        <v>172500</v>
      </c>
      <c r="L773" s="81">
        <v>57500</v>
      </c>
      <c r="M773" s="81"/>
      <c r="N773" s="81"/>
      <c r="O773" s="81"/>
      <c r="P773" s="81">
        <f>P1096</f>
        <v>172500</v>
      </c>
      <c r="Q773" s="81">
        <f t="shared" ref="Q773:U773" si="922">Q1096</f>
        <v>172500</v>
      </c>
      <c r="R773" s="81">
        <f t="shared" si="922"/>
        <v>57500</v>
      </c>
      <c r="S773" s="81">
        <f t="shared" si="922"/>
        <v>0</v>
      </c>
      <c r="T773" s="81">
        <f t="shared" si="922"/>
        <v>0</v>
      </c>
      <c r="U773" s="81">
        <f t="shared" si="922"/>
        <v>0</v>
      </c>
      <c r="V773" s="81">
        <f t="shared" si="918"/>
        <v>172500</v>
      </c>
      <c r="W773" s="81">
        <f t="shared" si="918"/>
        <v>172500</v>
      </c>
      <c r="X773" s="81">
        <f t="shared" si="918"/>
        <v>57500</v>
      </c>
    </row>
    <row r="774" spans="1:24">
      <c r="A774" s="9"/>
      <c r="B774" s="10"/>
      <c r="C774" s="10"/>
      <c r="D774" s="10"/>
      <c r="E774" s="10"/>
      <c r="F774" s="10"/>
      <c r="G774" s="10"/>
      <c r="H774" s="10"/>
      <c r="I774" s="13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</row>
    <row r="775" spans="1:24" ht="15.75">
      <c r="A775" s="187" t="s">
        <v>5</v>
      </c>
      <c r="B775" s="29" t="s">
        <v>402</v>
      </c>
      <c r="C775" s="29" t="s">
        <v>30</v>
      </c>
      <c r="D775" s="29"/>
      <c r="E775" s="29"/>
      <c r="F775" s="29"/>
      <c r="G775" s="29"/>
      <c r="H775" s="29"/>
      <c r="I775" s="32"/>
      <c r="J775" s="100">
        <f t="shared" ref="J775:U775" si="923">J776+J784+J816</f>
        <v>18255380</v>
      </c>
      <c r="K775" s="100">
        <f t="shared" si="923"/>
        <v>4795700</v>
      </c>
      <c r="L775" s="100">
        <f t="shared" si="923"/>
        <v>4795700</v>
      </c>
      <c r="M775" s="100">
        <f t="shared" si="923"/>
        <v>986897.66</v>
      </c>
      <c r="N775" s="100">
        <f t="shared" si="923"/>
        <v>0</v>
      </c>
      <c r="O775" s="100">
        <f t="shared" si="923"/>
        <v>0</v>
      </c>
      <c r="P775" s="100">
        <f t="shared" si="923"/>
        <v>19242277.66</v>
      </c>
      <c r="Q775" s="100">
        <f t="shared" si="923"/>
        <v>4795700</v>
      </c>
      <c r="R775" s="100">
        <f t="shared" si="923"/>
        <v>4795700</v>
      </c>
      <c r="S775" s="100">
        <f t="shared" si="923"/>
        <v>60000</v>
      </c>
      <c r="T775" s="100">
        <f t="shared" si="923"/>
        <v>0</v>
      </c>
      <c r="U775" s="100">
        <f t="shared" si="923"/>
        <v>0</v>
      </c>
      <c r="V775" s="100">
        <f t="shared" si="918"/>
        <v>19302277.66</v>
      </c>
      <c r="W775" s="100">
        <f t="shared" si="918"/>
        <v>4795700</v>
      </c>
      <c r="X775" s="100">
        <f t="shared" si="918"/>
        <v>4795700</v>
      </c>
    </row>
    <row r="776" spans="1:24">
      <c r="A776" s="23" t="s">
        <v>6</v>
      </c>
      <c r="B776" s="15" t="s">
        <v>402</v>
      </c>
      <c r="C776" s="15" t="s">
        <v>30</v>
      </c>
      <c r="D776" s="15" t="s">
        <v>20</v>
      </c>
      <c r="E776" s="15"/>
      <c r="F776" s="15"/>
      <c r="G776" s="15"/>
      <c r="H776" s="15"/>
      <c r="I776" s="26"/>
      <c r="J776" s="101">
        <f t="shared" ref="J776:O777" si="924">J777</f>
        <v>4277700</v>
      </c>
      <c r="K776" s="101">
        <f t="shared" si="924"/>
        <v>4277700</v>
      </c>
      <c r="L776" s="101">
        <f t="shared" si="924"/>
        <v>4277700</v>
      </c>
      <c r="M776" s="101">
        <f t="shared" si="924"/>
        <v>0</v>
      </c>
      <c r="N776" s="101">
        <f t="shared" si="924"/>
        <v>0</v>
      </c>
      <c r="O776" s="101">
        <f t="shared" si="924"/>
        <v>0</v>
      </c>
      <c r="P776" s="101">
        <f>P777</f>
        <v>4277700</v>
      </c>
      <c r="Q776" s="101">
        <f t="shared" ref="Q776:U777" si="925">Q777</f>
        <v>4277700</v>
      </c>
      <c r="R776" s="101">
        <f t="shared" si="925"/>
        <v>4277700</v>
      </c>
      <c r="S776" s="101">
        <f t="shared" si="925"/>
        <v>0</v>
      </c>
      <c r="T776" s="101">
        <f t="shared" si="925"/>
        <v>0</v>
      </c>
      <c r="U776" s="101">
        <f t="shared" si="925"/>
        <v>0</v>
      </c>
      <c r="V776" s="101">
        <f t="shared" si="918"/>
        <v>4277700</v>
      </c>
      <c r="W776" s="101">
        <f t="shared" si="918"/>
        <v>4277700</v>
      </c>
      <c r="X776" s="101">
        <f t="shared" si="918"/>
        <v>4277700</v>
      </c>
    </row>
    <row r="777" spans="1:24">
      <c r="A777" s="9" t="s">
        <v>83</v>
      </c>
      <c r="B777" s="10" t="s">
        <v>402</v>
      </c>
      <c r="C777" s="10" t="s">
        <v>30</v>
      </c>
      <c r="D777" s="10" t="s">
        <v>20</v>
      </c>
      <c r="E777" s="10" t="s">
        <v>82</v>
      </c>
      <c r="F777" s="10" t="s">
        <v>70</v>
      </c>
      <c r="G777" s="10" t="s">
        <v>148</v>
      </c>
      <c r="H777" s="10" t="s">
        <v>149</v>
      </c>
      <c r="I777" s="17"/>
      <c r="J777" s="81">
        <f t="shared" si="924"/>
        <v>4277700</v>
      </c>
      <c r="K777" s="81">
        <f t="shared" si="924"/>
        <v>4277700</v>
      </c>
      <c r="L777" s="81">
        <f t="shared" si="924"/>
        <v>4277700</v>
      </c>
      <c r="M777" s="81">
        <f t="shared" si="924"/>
        <v>0</v>
      </c>
      <c r="N777" s="81">
        <f t="shared" si="924"/>
        <v>0</v>
      </c>
      <c r="O777" s="81">
        <f t="shared" si="924"/>
        <v>0</v>
      </c>
      <c r="P777" s="81">
        <f>P778</f>
        <v>4277700</v>
      </c>
      <c r="Q777" s="81">
        <f t="shared" si="925"/>
        <v>4277700</v>
      </c>
      <c r="R777" s="81">
        <f t="shared" si="925"/>
        <v>4277700</v>
      </c>
      <c r="S777" s="81">
        <f t="shared" si="925"/>
        <v>0</v>
      </c>
      <c r="T777" s="81">
        <f t="shared" si="925"/>
        <v>0</v>
      </c>
      <c r="U777" s="81">
        <f t="shared" si="925"/>
        <v>0</v>
      </c>
      <c r="V777" s="81">
        <f t="shared" si="918"/>
        <v>4277700</v>
      </c>
      <c r="W777" s="81">
        <f t="shared" si="918"/>
        <v>4277700</v>
      </c>
      <c r="X777" s="81">
        <f t="shared" si="918"/>
        <v>4277700</v>
      </c>
    </row>
    <row r="778" spans="1:24" ht="25.5">
      <c r="A778" s="292" t="s">
        <v>221</v>
      </c>
      <c r="B778" s="10" t="s">
        <v>402</v>
      </c>
      <c r="C778" s="10" t="s">
        <v>30</v>
      </c>
      <c r="D778" s="10" t="s">
        <v>20</v>
      </c>
      <c r="E778" s="10" t="s">
        <v>82</v>
      </c>
      <c r="F778" s="10" t="s">
        <v>70</v>
      </c>
      <c r="G778" s="10" t="s">
        <v>148</v>
      </c>
      <c r="H778" s="10" t="s">
        <v>180</v>
      </c>
      <c r="I778" s="17"/>
      <c r="J778" s="81">
        <f>J779+J781</f>
        <v>4277700</v>
      </c>
      <c r="K778" s="81">
        <f t="shared" ref="K778:O778" si="926">K779+K781</f>
        <v>4277700</v>
      </c>
      <c r="L778" s="81">
        <f t="shared" si="926"/>
        <v>4277700</v>
      </c>
      <c r="M778" s="81">
        <f t="shared" si="926"/>
        <v>0</v>
      </c>
      <c r="N778" s="81">
        <f t="shared" si="926"/>
        <v>0</v>
      </c>
      <c r="O778" s="81">
        <f t="shared" si="926"/>
        <v>0</v>
      </c>
      <c r="P778" s="81">
        <f>P779+P781</f>
        <v>4277700</v>
      </c>
      <c r="Q778" s="81">
        <f t="shared" ref="Q778:U778" si="927">Q779+Q781</f>
        <v>4277700</v>
      </c>
      <c r="R778" s="81">
        <f t="shared" si="927"/>
        <v>4277700</v>
      </c>
      <c r="S778" s="81">
        <f t="shared" si="927"/>
        <v>0</v>
      </c>
      <c r="T778" s="81">
        <f t="shared" si="927"/>
        <v>0</v>
      </c>
      <c r="U778" s="81">
        <f t="shared" si="927"/>
        <v>0</v>
      </c>
      <c r="V778" s="81">
        <f t="shared" si="918"/>
        <v>4277700</v>
      </c>
      <c r="W778" s="81">
        <f t="shared" si="918"/>
        <v>4277700</v>
      </c>
      <c r="X778" s="81">
        <f t="shared" si="918"/>
        <v>4277700</v>
      </c>
    </row>
    <row r="779" spans="1:24" ht="25.5">
      <c r="A779" s="189" t="s">
        <v>260</v>
      </c>
      <c r="B779" s="10" t="s">
        <v>402</v>
      </c>
      <c r="C779" s="10" t="s">
        <v>30</v>
      </c>
      <c r="D779" s="10" t="s">
        <v>20</v>
      </c>
      <c r="E779" s="10" t="s">
        <v>82</v>
      </c>
      <c r="F779" s="10" t="s">
        <v>70</v>
      </c>
      <c r="G779" s="10" t="s">
        <v>148</v>
      </c>
      <c r="H779" s="10" t="s">
        <v>180</v>
      </c>
      <c r="I779" s="116" t="s">
        <v>94</v>
      </c>
      <c r="J779" s="81">
        <f>J780</f>
        <v>77700</v>
      </c>
      <c r="K779" s="81">
        <f t="shared" ref="K779:O779" si="928">K780</f>
        <v>77700</v>
      </c>
      <c r="L779" s="81">
        <f t="shared" si="928"/>
        <v>77700</v>
      </c>
      <c r="M779" s="81">
        <f t="shared" si="928"/>
        <v>0</v>
      </c>
      <c r="N779" s="81">
        <f t="shared" si="928"/>
        <v>0</v>
      </c>
      <c r="O779" s="81">
        <f t="shared" si="928"/>
        <v>0</v>
      </c>
      <c r="P779" s="81">
        <f>P780</f>
        <v>77700</v>
      </c>
      <c r="Q779" s="81">
        <f t="shared" ref="Q779:U779" si="929">Q780</f>
        <v>77700</v>
      </c>
      <c r="R779" s="81">
        <f t="shared" si="929"/>
        <v>77700</v>
      </c>
      <c r="S779" s="81">
        <f t="shared" si="929"/>
        <v>0</v>
      </c>
      <c r="T779" s="81">
        <f t="shared" si="929"/>
        <v>0</v>
      </c>
      <c r="U779" s="81">
        <f t="shared" si="929"/>
        <v>0</v>
      </c>
      <c r="V779" s="81">
        <f t="shared" si="918"/>
        <v>77700</v>
      </c>
      <c r="W779" s="81">
        <f t="shared" si="918"/>
        <v>77700</v>
      </c>
      <c r="X779" s="81">
        <f t="shared" si="918"/>
        <v>77700</v>
      </c>
    </row>
    <row r="780" spans="1:24" ht="25.5">
      <c r="A780" s="188" t="s">
        <v>98</v>
      </c>
      <c r="B780" s="10" t="s">
        <v>402</v>
      </c>
      <c r="C780" s="10" t="s">
        <v>30</v>
      </c>
      <c r="D780" s="10" t="s">
        <v>20</v>
      </c>
      <c r="E780" s="10" t="s">
        <v>82</v>
      </c>
      <c r="F780" s="10" t="s">
        <v>70</v>
      </c>
      <c r="G780" s="10" t="s">
        <v>148</v>
      </c>
      <c r="H780" s="10" t="s">
        <v>180</v>
      </c>
      <c r="I780" s="116" t="s">
        <v>95</v>
      </c>
      <c r="J780" s="81">
        <v>77700</v>
      </c>
      <c r="K780" s="81">
        <v>77700</v>
      </c>
      <c r="L780" s="81">
        <v>77700</v>
      </c>
      <c r="M780" s="81"/>
      <c r="N780" s="81"/>
      <c r="O780" s="81"/>
      <c r="P780" s="81">
        <f>P1102</f>
        <v>77700</v>
      </c>
      <c r="Q780" s="81">
        <f t="shared" ref="Q780:U780" si="930">Q1102</f>
        <v>77700</v>
      </c>
      <c r="R780" s="81">
        <f t="shared" si="930"/>
        <v>77700</v>
      </c>
      <c r="S780" s="81">
        <f t="shared" si="930"/>
        <v>0</v>
      </c>
      <c r="T780" s="81">
        <f t="shared" si="930"/>
        <v>0</v>
      </c>
      <c r="U780" s="81">
        <f t="shared" si="930"/>
        <v>0</v>
      </c>
      <c r="V780" s="81">
        <f t="shared" si="918"/>
        <v>77700</v>
      </c>
      <c r="W780" s="81">
        <f t="shared" si="918"/>
        <v>77700</v>
      </c>
      <c r="X780" s="81">
        <f t="shared" si="918"/>
        <v>77700</v>
      </c>
    </row>
    <row r="781" spans="1:24">
      <c r="A781" s="9" t="s">
        <v>100</v>
      </c>
      <c r="B781" s="10" t="s">
        <v>402</v>
      </c>
      <c r="C781" s="10" t="s">
        <v>30</v>
      </c>
      <c r="D781" s="10" t="s">
        <v>20</v>
      </c>
      <c r="E781" s="10" t="s">
        <v>82</v>
      </c>
      <c r="F781" s="10" t="s">
        <v>70</v>
      </c>
      <c r="G781" s="10" t="s">
        <v>148</v>
      </c>
      <c r="H781" s="10" t="s">
        <v>180</v>
      </c>
      <c r="I781" s="17" t="s">
        <v>99</v>
      </c>
      <c r="J781" s="81">
        <f>J782</f>
        <v>4200000</v>
      </c>
      <c r="K781" s="81">
        <f t="shared" ref="K781:O781" si="931">K782</f>
        <v>4200000</v>
      </c>
      <c r="L781" s="81">
        <f t="shared" si="931"/>
        <v>4200000</v>
      </c>
      <c r="M781" s="81">
        <f t="shared" si="931"/>
        <v>0</v>
      </c>
      <c r="N781" s="81">
        <f t="shared" si="931"/>
        <v>0</v>
      </c>
      <c r="O781" s="81">
        <f t="shared" si="931"/>
        <v>0</v>
      </c>
      <c r="P781" s="81">
        <f>P782</f>
        <v>4200000</v>
      </c>
      <c r="Q781" s="81">
        <f t="shared" ref="Q781:U781" si="932">Q782</f>
        <v>4200000</v>
      </c>
      <c r="R781" s="81">
        <f t="shared" si="932"/>
        <v>4200000</v>
      </c>
      <c r="S781" s="81">
        <f t="shared" si="932"/>
        <v>0</v>
      </c>
      <c r="T781" s="81">
        <f t="shared" si="932"/>
        <v>0</v>
      </c>
      <c r="U781" s="81">
        <f t="shared" si="932"/>
        <v>0</v>
      </c>
      <c r="V781" s="81">
        <f t="shared" si="918"/>
        <v>4200000</v>
      </c>
      <c r="W781" s="81">
        <f t="shared" si="918"/>
        <v>4200000</v>
      </c>
      <c r="X781" s="81">
        <f t="shared" si="918"/>
        <v>4200000</v>
      </c>
    </row>
    <row r="782" spans="1:24">
      <c r="A782" s="9" t="s">
        <v>253</v>
      </c>
      <c r="B782" s="10" t="s">
        <v>402</v>
      </c>
      <c r="C782" s="10" t="s">
        <v>30</v>
      </c>
      <c r="D782" s="10" t="s">
        <v>20</v>
      </c>
      <c r="E782" s="10" t="s">
        <v>82</v>
      </c>
      <c r="F782" s="10" t="s">
        <v>70</v>
      </c>
      <c r="G782" s="10" t="s">
        <v>148</v>
      </c>
      <c r="H782" s="10" t="s">
        <v>180</v>
      </c>
      <c r="I782" s="116" t="s">
        <v>252</v>
      </c>
      <c r="J782" s="81">
        <v>4200000</v>
      </c>
      <c r="K782" s="81">
        <v>4200000</v>
      </c>
      <c r="L782" s="81">
        <v>4200000</v>
      </c>
      <c r="M782" s="81"/>
      <c r="N782" s="81"/>
      <c r="O782" s="81"/>
      <c r="P782" s="81">
        <f>P1104</f>
        <v>4200000</v>
      </c>
      <c r="Q782" s="81">
        <f t="shared" ref="Q782:U782" si="933">Q1104</f>
        <v>4200000</v>
      </c>
      <c r="R782" s="81">
        <f t="shared" si="933"/>
        <v>4200000</v>
      </c>
      <c r="S782" s="81">
        <f t="shared" si="933"/>
        <v>0</v>
      </c>
      <c r="T782" s="81">
        <f t="shared" si="933"/>
        <v>0</v>
      </c>
      <c r="U782" s="81">
        <f t="shared" si="933"/>
        <v>0</v>
      </c>
      <c r="V782" s="81">
        <f t="shared" si="918"/>
        <v>4200000</v>
      </c>
      <c r="W782" s="81">
        <f t="shared" si="918"/>
        <v>4200000</v>
      </c>
      <c r="X782" s="81">
        <f t="shared" si="918"/>
        <v>4200000</v>
      </c>
    </row>
    <row r="783" spans="1:24">
      <c r="A783" s="9"/>
      <c r="B783" s="10"/>
      <c r="C783" s="10"/>
      <c r="D783" s="10"/>
      <c r="E783" s="10"/>
      <c r="F783" s="10"/>
      <c r="G783" s="10"/>
      <c r="H783" s="10"/>
      <c r="I783" s="116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</row>
    <row r="784" spans="1:24">
      <c r="A784" s="23" t="s">
        <v>7</v>
      </c>
      <c r="B784" s="15" t="s">
        <v>402</v>
      </c>
      <c r="C784" s="15" t="s">
        <v>30</v>
      </c>
      <c r="D784" s="15" t="s">
        <v>13</v>
      </c>
      <c r="E784" s="15"/>
      <c r="F784" s="15"/>
      <c r="G784" s="15"/>
      <c r="H784" s="1"/>
      <c r="I784" s="13"/>
      <c r="J784" s="101">
        <f>+J797+J789+J785</f>
        <v>13927680</v>
      </c>
      <c r="K784" s="101">
        <f t="shared" ref="K784:O784" si="934">+K797+K789+K785</f>
        <v>468000</v>
      </c>
      <c r="L784" s="101">
        <f t="shared" si="934"/>
        <v>468000</v>
      </c>
      <c r="M784" s="101">
        <f t="shared" si="934"/>
        <v>986897.66</v>
      </c>
      <c r="N784" s="101">
        <f t="shared" si="934"/>
        <v>0</v>
      </c>
      <c r="O784" s="101">
        <f t="shared" si="934"/>
        <v>0</v>
      </c>
      <c r="P784" s="101">
        <f>P785+P789+P797</f>
        <v>14914577.66</v>
      </c>
      <c r="Q784" s="101">
        <f t="shared" ref="Q784:R784" si="935">Q785+Q789+Q797</f>
        <v>468000</v>
      </c>
      <c r="R784" s="101">
        <f t="shared" si="935"/>
        <v>468000</v>
      </c>
      <c r="S784" s="101">
        <f t="shared" ref="S784:U784" si="936">+S797+S789+S785</f>
        <v>60000</v>
      </c>
      <c r="T784" s="101">
        <f t="shared" si="936"/>
        <v>0</v>
      </c>
      <c r="U784" s="101">
        <f t="shared" si="936"/>
        <v>0</v>
      </c>
      <c r="V784" s="101">
        <f t="shared" si="918"/>
        <v>14974577.66</v>
      </c>
      <c r="W784" s="101">
        <f t="shared" si="918"/>
        <v>468000</v>
      </c>
      <c r="X784" s="101">
        <f t="shared" si="918"/>
        <v>468000</v>
      </c>
    </row>
    <row r="785" spans="1:24" ht="38.25">
      <c r="A785" s="290" t="s">
        <v>286</v>
      </c>
      <c r="B785" s="1" t="s">
        <v>402</v>
      </c>
      <c r="C785" s="10" t="s">
        <v>30</v>
      </c>
      <c r="D785" s="10" t="s">
        <v>13</v>
      </c>
      <c r="E785" s="10" t="s">
        <v>3</v>
      </c>
      <c r="F785" s="10" t="s">
        <v>70</v>
      </c>
      <c r="G785" s="10" t="s">
        <v>148</v>
      </c>
      <c r="H785" s="10" t="s">
        <v>149</v>
      </c>
      <c r="I785" s="17"/>
      <c r="J785" s="102">
        <f>J786</f>
        <v>200000</v>
      </c>
      <c r="K785" s="102">
        <f t="shared" ref="K785:O785" si="937">K786</f>
        <v>200000</v>
      </c>
      <c r="L785" s="102">
        <f t="shared" si="937"/>
        <v>200000</v>
      </c>
      <c r="M785" s="102">
        <f t="shared" si="937"/>
        <v>908547.66</v>
      </c>
      <c r="N785" s="102">
        <f t="shared" si="937"/>
        <v>0</v>
      </c>
      <c r="O785" s="102">
        <f t="shared" si="937"/>
        <v>0</v>
      </c>
      <c r="P785" s="102">
        <f>P786</f>
        <v>1108547.6600000001</v>
      </c>
      <c r="Q785" s="102">
        <f t="shared" ref="Q785:U787" si="938">Q786</f>
        <v>200000</v>
      </c>
      <c r="R785" s="102">
        <f t="shared" si="938"/>
        <v>200000</v>
      </c>
      <c r="S785" s="102">
        <f t="shared" si="938"/>
        <v>0</v>
      </c>
      <c r="T785" s="102">
        <f t="shared" si="938"/>
        <v>0</v>
      </c>
      <c r="U785" s="102">
        <f t="shared" si="938"/>
        <v>0</v>
      </c>
      <c r="V785" s="102">
        <f t="shared" si="918"/>
        <v>1108547.6600000001</v>
      </c>
      <c r="W785" s="102">
        <f t="shared" si="918"/>
        <v>200000</v>
      </c>
      <c r="X785" s="102">
        <f t="shared" si="918"/>
        <v>200000</v>
      </c>
    </row>
    <row r="786" spans="1:24">
      <c r="A786" s="293" t="s">
        <v>385</v>
      </c>
      <c r="B786" s="1" t="s">
        <v>402</v>
      </c>
      <c r="C786" s="10" t="s">
        <v>30</v>
      </c>
      <c r="D786" s="10" t="s">
        <v>13</v>
      </c>
      <c r="E786" s="10" t="s">
        <v>3</v>
      </c>
      <c r="F786" s="10" t="s">
        <v>70</v>
      </c>
      <c r="G786" s="10" t="s">
        <v>148</v>
      </c>
      <c r="H786" s="59" t="s">
        <v>386</v>
      </c>
      <c r="I786" s="17"/>
      <c r="J786" s="102">
        <f t="shared" ref="J786:O787" si="939">J787</f>
        <v>200000</v>
      </c>
      <c r="K786" s="102">
        <f t="shared" si="939"/>
        <v>200000</v>
      </c>
      <c r="L786" s="102">
        <f t="shared" si="939"/>
        <v>200000</v>
      </c>
      <c r="M786" s="102">
        <f t="shared" si="939"/>
        <v>908547.66</v>
      </c>
      <c r="N786" s="102">
        <f t="shared" si="939"/>
        <v>0</v>
      </c>
      <c r="O786" s="102">
        <f t="shared" si="939"/>
        <v>0</v>
      </c>
      <c r="P786" s="102">
        <f>P787</f>
        <v>1108547.6600000001</v>
      </c>
      <c r="Q786" s="102">
        <f t="shared" si="938"/>
        <v>200000</v>
      </c>
      <c r="R786" s="102">
        <f t="shared" si="938"/>
        <v>200000</v>
      </c>
      <c r="S786" s="102">
        <f t="shared" si="938"/>
        <v>0</v>
      </c>
      <c r="T786" s="102">
        <f t="shared" si="938"/>
        <v>0</v>
      </c>
      <c r="U786" s="102">
        <f t="shared" si="938"/>
        <v>0</v>
      </c>
      <c r="V786" s="102">
        <f t="shared" ref="V786:X817" si="940">P786+S786</f>
        <v>1108547.6600000001</v>
      </c>
      <c r="W786" s="102">
        <f t="shared" si="940"/>
        <v>200000</v>
      </c>
      <c r="X786" s="102">
        <f t="shared" si="940"/>
        <v>200000</v>
      </c>
    </row>
    <row r="787" spans="1:24">
      <c r="A787" s="9" t="s">
        <v>100</v>
      </c>
      <c r="B787" s="1" t="s">
        <v>402</v>
      </c>
      <c r="C787" s="10" t="s">
        <v>30</v>
      </c>
      <c r="D787" s="10" t="s">
        <v>13</v>
      </c>
      <c r="E787" s="10" t="s">
        <v>3</v>
      </c>
      <c r="F787" s="10" t="s">
        <v>70</v>
      </c>
      <c r="G787" s="10" t="s">
        <v>148</v>
      </c>
      <c r="H787" s="59" t="s">
        <v>386</v>
      </c>
      <c r="I787" s="17" t="s">
        <v>99</v>
      </c>
      <c r="J787" s="102">
        <f t="shared" si="939"/>
        <v>200000</v>
      </c>
      <c r="K787" s="102">
        <f t="shared" si="939"/>
        <v>200000</v>
      </c>
      <c r="L787" s="102">
        <f t="shared" si="939"/>
        <v>200000</v>
      </c>
      <c r="M787" s="102">
        <f t="shared" si="939"/>
        <v>908547.66</v>
      </c>
      <c r="N787" s="102">
        <f t="shared" si="939"/>
        <v>0</v>
      </c>
      <c r="O787" s="102">
        <f t="shared" si="939"/>
        <v>0</v>
      </c>
      <c r="P787" s="102">
        <f>P788</f>
        <v>1108547.6600000001</v>
      </c>
      <c r="Q787" s="102">
        <f t="shared" si="938"/>
        <v>200000</v>
      </c>
      <c r="R787" s="102">
        <f t="shared" si="938"/>
        <v>200000</v>
      </c>
      <c r="S787" s="102">
        <f t="shared" si="938"/>
        <v>0</v>
      </c>
      <c r="T787" s="102">
        <f t="shared" si="938"/>
        <v>0</v>
      </c>
      <c r="U787" s="102">
        <f t="shared" si="938"/>
        <v>0</v>
      </c>
      <c r="V787" s="102">
        <f t="shared" si="940"/>
        <v>1108547.6600000001</v>
      </c>
      <c r="W787" s="102">
        <f t="shared" si="940"/>
        <v>200000</v>
      </c>
      <c r="X787" s="102">
        <f t="shared" si="940"/>
        <v>200000</v>
      </c>
    </row>
    <row r="788" spans="1:24" ht="25.5">
      <c r="A788" s="9" t="s">
        <v>106</v>
      </c>
      <c r="B788" s="1" t="s">
        <v>402</v>
      </c>
      <c r="C788" s="10" t="s">
        <v>30</v>
      </c>
      <c r="D788" s="10" t="s">
        <v>13</v>
      </c>
      <c r="E788" s="10" t="s">
        <v>3</v>
      </c>
      <c r="F788" s="10" t="s">
        <v>70</v>
      </c>
      <c r="G788" s="10" t="s">
        <v>148</v>
      </c>
      <c r="H788" s="59" t="s">
        <v>386</v>
      </c>
      <c r="I788" s="17" t="s">
        <v>107</v>
      </c>
      <c r="J788" s="102">
        <v>200000</v>
      </c>
      <c r="K788" s="102">
        <v>200000</v>
      </c>
      <c r="L788" s="102">
        <v>200000</v>
      </c>
      <c r="M788" s="102">
        <v>908547.66</v>
      </c>
      <c r="N788" s="102"/>
      <c r="O788" s="102"/>
      <c r="P788" s="102">
        <f>P1109</f>
        <v>1108547.6600000001</v>
      </c>
      <c r="Q788" s="102">
        <f t="shared" ref="Q788:U788" si="941">Q1109</f>
        <v>200000</v>
      </c>
      <c r="R788" s="102">
        <f t="shared" si="941"/>
        <v>200000</v>
      </c>
      <c r="S788" s="102">
        <f t="shared" si="941"/>
        <v>0</v>
      </c>
      <c r="T788" s="102">
        <f t="shared" si="941"/>
        <v>0</v>
      </c>
      <c r="U788" s="102">
        <f t="shared" si="941"/>
        <v>0</v>
      </c>
      <c r="V788" s="102">
        <f t="shared" si="940"/>
        <v>1108547.6600000001</v>
      </c>
      <c r="W788" s="102">
        <f t="shared" si="940"/>
        <v>200000</v>
      </c>
      <c r="X788" s="102">
        <f t="shared" si="940"/>
        <v>200000</v>
      </c>
    </row>
    <row r="789" spans="1:24" ht="38.25">
      <c r="A789" s="9" t="s">
        <v>289</v>
      </c>
      <c r="B789" s="1" t="s">
        <v>402</v>
      </c>
      <c r="C789" s="10" t="s">
        <v>30</v>
      </c>
      <c r="D789" s="10" t="s">
        <v>13</v>
      </c>
      <c r="E789" s="1" t="s">
        <v>27</v>
      </c>
      <c r="F789" s="1" t="s">
        <v>70</v>
      </c>
      <c r="G789" s="1" t="s">
        <v>148</v>
      </c>
      <c r="H789" s="1" t="s">
        <v>149</v>
      </c>
      <c r="I789" s="13"/>
      <c r="J789" s="81">
        <f>J790</f>
        <v>13459680</v>
      </c>
      <c r="K789" s="81">
        <f t="shared" ref="K789:O789" si="942">K790</f>
        <v>0</v>
      </c>
      <c r="L789" s="81">
        <f t="shared" si="942"/>
        <v>0</v>
      </c>
      <c r="M789" s="81">
        <f t="shared" si="942"/>
        <v>0</v>
      </c>
      <c r="N789" s="81">
        <f t="shared" si="942"/>
        <v>0</v>
      </c>
      <c r="O789" s="81">
        <f t="shared" si="942"/>
        <v>0</v>
      </c>
      <c r="P789" s="81">
        <f>P790</f>
        <v>13459680</v>
      </c>
      <c r="Q789" s="81">
        <f t="shared" ref="Q789:U789" si="943">Q790</f>
        <v>0</v>
      </c>
      <c r="R789" s="81">
        <f t="shared" si="943"/>
        <v>0</v>
      </c>
      <c r="S789" s="81">
        <f t="shared" si="943"/>
        <v>0</v>
      </c>
      <c r="T789" s="81">
        <f t="shared" si="943"/>
        <v>0</v>
      </c>
      <c r="U789" s="81">
        <f t="shared" si="943"/>
        <v>0</v>
      </c>
      <c r="V789" s="81">
        <f t="shared" si="940"/>
        <v>13459680</v>
      </c>
      <c r="W789" s="81">
        <f t="shared" si="940"/>
        <v>0</v>
      </c>
      <c r="X789" s="81">
        <f t="shared" si="940"/>
        <v>0</v>
      </c>
    </row>
    <row r="790" spans="1:24">
      <c r="A790" s="209" t="s">
        <v>215</v>
      </c>
      <c r="B790" s="1" t="s">
        <v>402</v>
      </c>
      <c r="C790" s="10" t="s">
        <v>30</v>
      </c>
      <c r="D790" s="10" t="s">
        <v>13</v>
      </c>
      <c r="E790" s="1" t="s">
        <v>27</v>
      </c>
      <c r="F790" s="1" t="s">
        <v>127</v>
      </c>
      <c r="G790" s="1" t="s">
        <v>148</v>
      </c>
      <c r="H790" s="1" t="s">
        <v>149</v>
      </c>
      <c r="I790" s="13"/>
      <c r="J790" s="81">
        <f>J791+J794</f>
        <v>13459680</v>
      </c>
      <c r="K790" s="81">
        <f t="shared" ref="K790:O790" si="944">K791+K794</f>
        <v>0</v>
      </c>
      <c r="L790" s="81">
        <f t="shared" si="944"/>
        <v>0</v>
      </c>
      <c r="M790" s="81">
        <f t="shared" si="944"/>
        <v>0</v>
      </c>
      <c r="N790" s="81">
        <f t="shared" si="944"/>
        <v>0</v>
      </c>
      <c r="O790" s="81">
        <f t="shared" si="944"/>
        <v>0</v>
      </c>
      <c r="P790" s="81">
        <f>P791+P794</f>
        <v>13459680</v>
      </c>
      <c r="Q790" s="81">
        <f t="shared" ref="Q790:U790" si="945">Q791+Q794</f>
        <v>0</v>
      </c>
      <c r="R790" s="81">
        <f t="shared" si="945"/>
        <v>0</v>
      </c>
      <c r="S790" s="81">
        <f t="shared" si="945"/>
        <v>0</v>
      </c>
      <c r="T790" s="81">
        <f t="shared" si="945"/>
        <v>0</v>
      </c>
      <c r="U790" s="81">
        <f t="shared" si="945"/>
        <v>0</v>
      </c>
      <c r="V790" s="81">
        <f t="shared" si="940"/>
        <v>13459680</v>
      </c>
      <c r="W790" s="81">
        <f t="shared" si="940"/>
        <v>0</v>
      </c>
      <c r="X790" s="81">
        <f t="shared" si="940"/>
        <v>0</v>
      </c>
    </row>
    <row r="791" spans="1:24" ht="66" customHeight="1">
      <c r="A791" s="289" t="s">
        <v>255</v>
      </c>
      <c r="B791" s="1" t="s">
        <v>402</v>
      </c>
      <c r="C791" s="10" t="s">
        <v>30</v>
      </c>
      <c r="D791" s="10" t="s">
        <v>13</v>
      </c>
      <c r="E791" s="59" t="s">
        <v>27</v>
      </c>
      <c r="F791" s="59" t="s">
        <v>127</v>
      </c>
      <c r="G791" s="59" t="s">
        <v>256</v>
      </c>
      <c r="H791" s="59" t="s">
        <v>257</v>
      </c>
      <c r="I791" s="116"/>
      <c r="J791" s="81">
        <f>+J792</f>
        <v>13190486.4</v>
      </c>
      <c r="K791" s="81">
        <f t="shared" ref="K791:O791" si="946">+K792</f>
        <v>0</v>
      </c>
      <c r="L791" s="81">
        <f t="shared" si="946"/>
        <v>0</v>
      </c>
      <c r="M791" s="81">
        <f t="shared" si="946"/>
        <v>0</v>
      </c>
      <c r="N791" s="81">
        <f t="shared" si="946"/>
        <v>0</v>
      </c>
      <c r="O791" s="81">
        <f t="shared" si="946"/>
        <v>0</v>
      </c>
      <c r="P791" s="81">
        <f>P792</f>
        <v>13190486.4</v>
      </c>
      <c r="Q791" s="81">
        <f t="shared" ref="Q791:U792" si="947">Q792</f>
        <v>0</v>
      </c>
      <c r="R791" s="81">
        <f t="shared" si="947"/>
        <v>0</v>
      </c>
      <c r="S791" s="81">
        <f t="shared" ref="S791:U791" si="948">+S792</f>
        <v>0</v>
      </c>
      <c r="T791" s="81">
        <f t="shared" si="948"/>
        <v>0</v>
      </c>
      <c r="U791" s="81">
        <f t="shared" si="948"/>
        <v>0</v>
      </c>
      <c r="V791" s="81">
        <f t="shared" si="940"/>
        <v>13190486.4</v>
      </c>
      <c r="W791" s="81">
        <f t="shared" si="940"/>
        <v>0</v>
      </c>
      <c r="X791" s="81">
        <f t="shared" si="940"/>
        <v>0</v>
      </c>
    </row>
    <row r="792" spans="1:24">
      <c r="A792" s="9" t="s">
        <v>100</v>
      </c>
      <c r="B792" s="1" t="s">
        <v>402</v>
      </c>
      <c r="C792" s="10" t="s">
        <v>30</v>
      </c>
      <c r="D792" s="10" t="s">
        <v>13</v>
      </c>
      <c r="E792" s="59" t="s">
        <v>27</v>
      </c>
      <c r="F792" s="59" t="s">
        <v>127</v>
      </c>
      <c r="G792" s="59" t="s">
        <v>256</v>
      </c>
      <c r="H792" s="59" t="s">
        <v>257</v>
      </c>
      <c r="I792" s="116" t="s">
        <v>99</v>
      </c>
      <c r="J792" s="81">
        <f>J793</f>
        <v>13190486.4</v>
      </c>
      <c r="K792" s="81">
        <f t="shared" ref="K792:O792" si="949">K793</f>
        <v>0</v>
      </c>
      <c r="L792" s="81">
        <f t="shared" si="949"/>
        <v>0</v>
      </c>
      <c r="M792" s="81">
        <f t="shared" si="949"/>
        <v>0</v>
      </c>
      <c r="N792" s="81">
        <f t="shared" si="949"/>
        <v>0</v>
      </c>
      <c r="O792" s="81">
        <f t="shared" si="949"/>
        <v>0</v>
      </c>
      <c r="P792" s="81">
        <f>P793</f>
        <v>13190486.4</v>
      </c>
      <c r="Q792" s="81">
        <f t="shared" si="947"/>
        <v>0</v>
      </c>
      <c r="R792" s="81">
        <f t="shared" si="947"/>
        <v>0</v>
      </c>
      <c r="S792" s="81">
        <f t="shared" si="947"/>
        <v>0</v>
      </c>
      <c r="T792" s="81">
        <f t="shared" si="947"/>
        <v>0</v>
      </c>
      <c r="U792" s="81">
        <f t="shared" si="947"/>
        <v>0</v>
      </c>
      <c r="V792" s="81">
        <f t="shared" si="940"/>
        <v>13190486.4</v>
      </c>
      <c r="W792" s="81">
        <f t="shared" si="940"/>
        <v>0</v>
      </c>
      <c r="X792" s="81">
        <f t="shared" si="940"/>
        <v>0</v>
      </c>
    </row>
    <row r="793" spans="1:24" ht="25.5">
      <c r="A793" s="9" t="s">
        <v>106</v>
      </c>
      <c r="B793" s="1" t="s">
        <v>402</v>
      </c>
      <c r="C793" s="10" t="s">
        <v>30</v>
      </c>
      <c r="D793" s="10" t="s">
        <v>13</v>
      </c>
      <c r="E793" s="59" t="s">
        <v>27</v>
      </c>
      <c r="F793" s="59" t="s">
        <v>127</v>
      </c>
      <c r="G793" s="59" t="s">
        <v>256</v>
      </c>
      <c r="H793" s="59" t="s">
        <v>257</v>
      </c>
      <c r="I793" s="116" t="s">
        <v>107</v>
      </c>
      <c r="J793" s="81">
        <v>13190486.4</v>
      </c>
      <c r="K793" s="81"/>
      <c r="L793" s="81"/>
      <c r="M793" s="81"/>
      <c r="N793" s="81"/>
      <c r="O793" s="81"/>
      <c r="P793" s="81">
        <f>P1114</f>
        <v>13190486.4</v>
      </c>
      <c r="Q793" s="81">
        <f t="shared" ref="Q793:U793" si="950">Q1114</f>
        <v>0</v>
      </c>
      <c r="R793" s="81">
        <f t="shared" si="950"/>
        <v>0</v>
      </c>
      <c r="S793" s="81">
        <f t="shared" si="950"/>
        <v>0</v>
      </c>
      <c r="T793" s="81">
        <f t="shared" si="950"/>
        <v>0</v>
      </c>
      <c r="U793" s="81">
        <f t="shared" si="950"/>
        <v>0</v>
      </c>
      <c r="V793" s="81">
        <f t="shared" si="940"/>
        <v>13190486.4</v>
      </c>
      <c r="W793" s="81">
        <f t="shared" si="940"/>
        <v>0</v>
      </c>
      <c r="X793" s="81">
        <f t="shared" si="940"/>
        <v>0</v>
      </c>
    </row>
    <row r="794" spans="1:24" ht="55.5" customHeight="1">
      <c r="A794" s="289" t="s">
        <v>258</v>
      </c>
      <c r="B794" s="1" t="s">
        <v>402</v>
      </c>
      <c r="C794" s="10" t="s">
        <v>30</v>
      </c>
      <c r="D794" s="10" t="s">
        <v>13</v>
      </c>
      <c r="E794" s="59" t="s">
        <v>27</v>
      </c>
      <c r="F794" s="59" t="s">
        <v>127</v>
      </c>
      <c r="G794" s="59" t="s">
        <v>256</v>
      </c>
      <c r="H794" s="59" t="s">
        <v>259</v>
      </c>
      <c r="I794" s="116"/>
      <c r="J794" s="81">
        <f>J795</f>
        <v>269193.59999999998</v>
      </c>
      <c r="K794" s="81">
        <f t="shared" ref="K794:O795" si="951">K795</f>
        <v>0</v>
      </c>
      <c r="L794" s="81">
        <f t="shared" si="951"/>
        <v>0</v>
      </c>
      <c r="M794" s="81">
        <f t="shared" si="951"/>
        <v>0</v>
      </c>
      <c r="N794" s="81">
        <f t="shared" si="951"/>
        <v>0</v>
      </c>
      <c r="O794" s="81">
        <f t="shared" si="951"/>
        <v>0</v>
      </c>
      <c r="P794" s="81">
        <f>P795</f>
        <v>269193.59999999998</v>
      </c>
      <c r="Q794" s="81">
        <f t="shared" ref="Q794:U795" si="952">Q795</f>
        <v>0</v>
      </c>
      <c r="R794" s="81">
        <f t="shared" si="952"/>
        <v>0</v>
      </c>
      <c r="S794" s="81">
        <f t="shared" si="952"/>
        <v>0</v>
      </c>
      <c r="T794" s="81">
        <f t="shared" si="952"/>
        <v>0</v>
      </c>
      <c r="U794" s="81">
        <f t="shared" si="952"/>
        <v>0</v>
      </c>
      <c r="V794" s="81">
        <f t="shared" si="940"/>
        <v>269193.59999999998</v>
      </c>
      <c r="W794" s="81">
        <f t="shared" si="940"/>
        <v>0</v>
      </c>
      <c r="X794" s="81">
        <f t="shared" si="940"/>
        <v>0</v>
      </c>
    </row>
    <row r="795" spans="1:24">
      <c r="A795" s="9" t="s">
        <v>100</v>
      </c>
      <c r="B795" s="1" t="s">
        <v>402</v>
      </c>
      <c r="C795" s="10" t="s">
        <v>30</v>
      </c>
      <c r="D795" s="10" t="s">
        <v>13</v>
      </c>
      <c r="E795" s="59" t="s">
        <v>27</v>
      </c>
      <c r="F795" s="59" t="s">
        <v>127</v>
      </c>
      <c r="G795" s="59" t="s">
        <v>256</v>
      </c>
      <c r="H795" s="59" t="s">
        <v>259</v>
      </c>
      <c r="I795" s="116" t="s">
        <v>99</v>
      </c>
      <c r="J795" s="81">
        <f>J796</f>
        <v>269193.59999999998</v>
      </c>
      <c r="K795" s="81">
        <f t="shared" si="951"/>
        <v>0</v>
      </c>
      <c r="L795" s="81">
        <f t="shared" si="951"/>
        <v>0</v>
      </c>
      <c r="M795" s="81">
        <f t="shared" si="951"/>
        <v>0</v>
      </c>
      <c r="N795" s="81">
        <f t="shared" si="951"/>
        <v>0</v>
      </c>
      <c r="O795" s="81">
        <f t="shared" si="951"/>
        <v>0</v>
      </c>
      <c r="P795" s="81">
        <f>P796</f>
        <v>269193.59999999998</v>
      </c>
      <c r="Q795" s="81">
        <f t="shared" si="952"/>
        <v>0</v>
      </c>
      <c r="R795" s="81">
        <f t="shared" si="952"/>
        <v>0</v>
      </c>
      <c r="S795" s="81">
        <f t="shared" si="952"/>
        <v>0</v>
      </c>
      <c r="T795" s="81">
        <f t="shared" si="952"/>
        <v>0</v>
      </c>
      <c r="U795" s="81">
        <f t="shared" si="952"/>
        <v>0</v>
      </c>
      <c r="V795" s="81">
        <f t="shared" si="940"/>
        <v>269193.59999999998</v>
      </c>
      <c r="W795" s="81">
        <f t="shared" si="940"/>
        <v>0</v>
      </c>
      <c r="X795" s="81">
        <f t="shared" si="940"/>
        <v>0</v>
      </c>
    </row>
    <row r="796" spans="1:24" ht="25.5">
      <c r="A796" s="9" t="s">
        <v>106</v>
      </c>
      <c r="B796" s="1" t="s">
        <v>402</v>
      </c>
      <c r="C796" s="10" t="s">
        <v>30</v>
      </c>
      <c r="D796" s="10" t="s">
        <v>13</v>
      </c>
      <c r="E796" s="59" t="s">
        <v>27</v>
      </c>
      <c r="F796" s="59" t="s">
        <v>127</v>
      </c>
      <c r="G796" s="59" t="s">
        <v>256</v>
      </c>
      <c r="H796" s="59" t="s">
        <v>259</v>
      </c>
      <c r="I796" s="116" t="s">
        <v>107</v>
      </c>
      <c r="J796" s="81">
        <v>269193.59999999998</v>
      </c>
      <c r="K796" s="81"/>
      <c r="L796" s="81"/>
      <c r="M796" s="81"/>
      <c r="N796" s="81"/>
      <c r="O796" s="81"/>
      <c r="P796" s="81">
        <f>P1117</f>
        <v>269193.59999999998</v>
      </c>
      <c r="Q796" s="81">
        <f t="shared" ref="Q796:U796" si="953">Q1117</f>
        <v>0</v>
      </c>
      <c r="R796" s="81">
        <f t="shared" si="953"/>
        <v>0</v>
      </c>
      <c r="S796" s="81">
        <f t="shared" si="953"/>
        <v>0</v>
      </c>
      <c r="T796" s="81">
        <f t="shared" si="953"/>
        <v>0</v>
      </c>
      <c r="U796" s="81">
        <f t="shared" si="953"/>
        <v>0</v>
      </c>
      <c r="V796" s="81">
        <f t="shared" si="940"/>
        <v>269193.59999999998</v>
      </c>
      <c r="W796" s="81">
        <f t="shared" si="940"/>
        <v>0</v>
      </c>
      <c r="X796" s="81">
        <f t="shared" si="940"/>
        <v>0</v>
      </c>
    </row>
    <row r="797" spans="1:24">
      <c r="A797" s="9" t="s">
        <v>83</v>
      </c>
      <c r="B797" s="1" t="s">
        <v>402</v>
      </c>
      <c r="C797" s="1" t="s">
        <v>30</v>
      </c>
      <c r="D797" s="1" t="s">
        <v>13</v>
      </c>
      <c r="E797" s="1" t="s">
        <v>82</v>
      </c>
      <c r="F797" s="1" t="s">
        <v>70</v>
      </c>
      <c r="G797" s="1" t="s">
        <v>148</v>
      </c>
      <c r="H797" s="1" t="s">
        <v>149</v>
      </c>
      <c r="I797" s="13"/>
      <c r="J797" s="81">
        <f>J801+J804+J807+J812</f>
        <v>268000</v>
      </c>
      <c r="K797" s="81">
        <f t="shared" ref="K797:O797" si="954">K801+K804+K807+K812</f>
        <v>268000</v>
      </c>
      <c r="L797" s="81">
        <f t="shared" si="954"/>
        <v>268000</v>
      </c>
      <c r="M797" s="81">
        <f t="shared" si="954"/>
        <v>78350</v>
      </c>
      <c r="N797" s="81">
        <f t="shared" si="954"/>
        <v>0</v>
      </c>
      <c r="O797" s="81">
        <f t="shared" si="954"/>
        <v>0</v>
      </c>
      <c r="P797" s="81">
        <f>P798+P801+P804+P807+P812</f>
        <v>346350</v>
      </c>
      <c r="Q797" s="81">
        <f t="shared" ref="Q797:R797" si="955">Q798+Q801+Q804+Q807+Q812</f>
        <v>268000</v>
      </c>
      <c r="R797" s="81">
        <f t="shared" si="955"/>
        <v>268000</v>
      </c>
      <c r="S797" s="81">
        <f>S801+S804+S807+S812+S798</f>
        <v>60000</v>
      </c>
      <c r="T797" s="81">
        <f t="shared" ref="T797:U797" si="956">T801+T804+T807+T812+T798</f>
        <v>0</v>
      </c>
      <c r="U797" s="81">
        <f t="shared" si="956"/>
        <v>0</v>
      </c>
      <c r="V797" s="81">
        <f t="shared" si="940"/>
        <v>406350</v>
      </c>
      <c r="W797" s="81">
        <f t="shared" si="940"/>
        <v>268000</v>
      </c>
      <c r="X797" s="81">
        <f t="shared" si="940"/>
        <v>268000</v>
      </c>
    </row>
    <row r="798" spans="1:24">
      <c r="A798" s="9" t="s">
        <v>332</v>
      </c>
      <c r="B798" s="1" t="s">
        <v>402</v>
      </c>
      <c r="C798" s="1" t="s">
        <v>30</v>
      </c>
      <c r="D798" s="1" t="s">
        <v>13</v>
      </c>
      <c r="E798" s="1" t="s">
        <v>82</v>
      </c>
      <c r="F798" s="1" t="s">
        <v>70</v>
      </c>
      <c r="G798" s="1" t="s">
        <v>148</v>
      </c>
      <c r="H798" s="1" t="s">
        <v>185</v>
      </c>
      <c r="I798" s="13"/>
      <c r="J798" s="81"/>
      <c r="K798" s="81"/>
      <c r="L798" s="81"/>
      <c r="M798" s="81"/>
      <c r="N798" s="81"/>
      <c r="O798" s="81"/>
      <c r="P798" s="81">
        <f>P799</f>
        <v>0</v>
      </c>
      <c r="Q798" s="81">
        <f t="shared" ref="Q798:R799" si="957">Q799</f>
        <v>0</v>
      </c>
      <c r="R798" s="81">
        <f t="shared" si="957"/>
        <v>0</v>
      </c>
      <c r="S798" s="81">
        <f>S799</f>
        <v>60000</v>
      </c>
      <c r="T798" s="81">
        <f t="shared" ref="T798:U799" si="958">T799</f>
        <v>0</v>
      </c>
      <c r="U798" s="81">
        <f t="shared" si="958"/>
        <v>0</v>
      </c>
      <c r="V798" s="81">
        <f t="shared" si="940"/>
        <v>60000</v>
      </c>
      <c r="W798" s="81">
        <f t="shared" si="940"/>
        <v>0</v>
      </c>
      <c r="X798" s="81">
        <f t="shared" si="940"/>
        <v>0</v>
      </c>
    </row>
    <row r="799" spans="1:24">
      <c r="A799" s="9" t="s">
        <v>100</v>
      </c>
      <c r="B799" s="1" t="s">
        <v>402</v>
      </c>
      <c r="C799" s="1" t="s">
        <v>30</v>
      </c>
      <c r="D799" s="1" t="s">
        <v>13</v>
      </c>
      <c r="E799" s="1" t="s">
        <v>82</v>
      </c>
      <c r="F799" s="1" t="s">
        <v>70</v>
      </c>
      <c r="G799" s="1" t="s">
        <v>148</v>
      </c>
      <c r="H799" s="1" t="s">
        <v>185</v>
      </c>
      <c r="I799" s="13" t="s">
        <v>99</v>
      </c>
      <c r="J799" s="81"/>
      <c r="K799" s="81"/>
      <c r="L799" s="81"/>
      <c r="M799" s="81"/>
      <c r="N799" s="81"/>
      <c r="O799" s="81"/>
      <c r="P799" s="81">
        <f>P800</f>
        <v>0</v>
      </c>
      <c r="Q799" s="81">
        <f t="shared" si="957"/>
        <v>0</v>
      </c>
      <c r="R799" s="81">
        <f t="shared" si="957"/>
        <v>0</v>
      </c>
      <c r="S799" s="81">
        <f>S800</f>
        <v>60000</v>
      </c>
      <c r="T799" s="81">
        <f t="shared" si="958"/>
        <v>0</v>
      </c>
      <c r="U799" s="81">
        <f t="shared" si="958"/>
        <v>0</v>
      </c>
      <c r="V799" s="81">
        <f t="shared" si="940"/>
        <v>60000</v>
      </c>
      <c r="W799" s="81">
        <f t="shared" si="940"/>
        <v>0</v>
      </c>
      <c r="X799" s="81">
        <f t="shared" si="940"/>
        <v>0</v>
      </c>
    </row>
    <row r="800" spans="1:24">
      <c r="A800" s="188" t="s">
        <v>117</v>
      </c>
      <c r="B800" s="1" t="s">
        <v>402</v>
      </c>
      <c r="C800" s="1" t="s">
        <v>30</v>
      </c>
      <c r="D800" s="1" t="s">
        <v>13</v>
      </c>
      <c r="E800" s="1" t="s">
        <v>82</v>
      </c>
      <c r="F800" s="1" t="s">
        <v>70</v>
      </c>
      <c r="G800" s="1" t="s">
        <v>148</v>
      </c>
      <c r="H800" s="1" t="s">
        <v>185</v>
      </c>
      <c r="I800" s="13" t="s">
        <v>116</v>
      </c>
      <c r="J800" s="81"/>
      <c r="K800" s="81"/>
      <c r="L800" s="81"/>
      <c r="M800" s="81"/>
      <c r="N800" s="81"/>
      <c r="O800" s="81"/>
      <c r="P800" s="81">
        <f>P1121</f>
        <v>0</v>
      </c>
      <c r="Q800" s="81">
        <f t="shared" ref="Q800:U800" si="959">Q1121</f>
        <v>0</v>
      </c>
      <c r="R800" s="81">
        <f t="shared" si="959"/>
        <v>0</v>
      </c>
      <c r="S800" s="81">
        <f t="shared" si="959"/>
        <v>60000</v>
      </c>
      <c r="T800" s="81">
        <f t="shared" si="959"/>
        <v>0</v>
      </c>
      <c r="U800" s="81">
        <f t="shared" si="959"/>
        <v>0</v>
      </c>
      <c r="V800" s="81">
        <f t="shared" si="940"/>
        <v>60000</v>
      </c>
      <c r="W800" s="81">
        <f t="shared" si="940"/>
        <v>0</v>
      </c>
      <c r="X800" s="81">
        <f t="shared" si="940"/>
        <v>0</v>
      </c>
    </row>
    <row r="801" spans="1:24">
      <c r="A801" s="9" t="s">
        <v>108</v>
      </c>
      <c r="B801" s="1" t="s">
        <v>402</v>
      </c>
      <c r="C801" s="1" t="s">
        <v>30</v>
      </c>
      <c r="D801" s="1" t="s">
        <v>13</v>
      </c>
      <c r="E801" s="1" t="s">
        <v>82</v>
      </c>
      <c r="F801" s="1" t="s">
        <v>70</v>
      </c>
      <c r="G801" s="1" t="s">
        <v>148</v>
      </c>
      <c r="H801" s="1" t="s">
        <v>181</v>
      </c>
      <c r="I801" s="13"/>
      <c r="J801" s="81">
        <f>J802</f>
        <v>80000</v>
      </c>
      <c r="K801" s="81">
        <f t="shared" ref="K801:O802" si="960">K802</f>
        <v>80000</v>
      </c>
      <c r="L801" s="81">
        <f t="shared" si="960"/>
        <v>80000</v>
      </c>
      <c r="M801" s="81">
        <f t="shared" si="960"/>
        <v>0</v>
      </c>
      <c r="N801" s="81">
        <f t="shared" si="960"/>
        <v>0</v>
      </c>
      <c r="O801" s="81">
        <f t="shared" si="960"/>
        <v>0</v>
      </c>
      <c r="P801" s="81">
        <f>P802</f>
        <v>80000</v>
      </c>
      <c r="Q801" s="81">
        <f t="shared" ref="Q801:U802" si="961">Q802</f>
        <v>80000</v>
      </c>
      <c r="R801" s="81">
        <f t="shared" si="961"/>
        <v>80000</v>
      </c>
      <c r="S801" s="81">
        <f t="shared" si="961"/>
        <v>0</v>
      </c>
      <c r="T801" s="81">
        <f t="shared" si="961"/>
        <v>0</v>
      </c>
      <c r="U801" s="81">
        <f t="shared" si="961"/>
        <v>0</v>
      </c>
      <c r="V801" s="81">
        <f t="shared" si="940"/>
        <v>80000</v>
      </c>
      <c r="W801" s="81">
        <f t="shared" si="940"/>
        <v>80000</v>
      </c>
      <c r="X801" s="81">
        <f t="shared" si="940"/>
        <v>80000</v>
      </c>
    </row>
    <row r="802" spans="1:24">
      <c r="A802" s="9" t="s">
        <v>100</v>
      </c>
      <c r="B802" s="1" t="s">
        <v>402</v>
      </c>
      <c r="C802" s="1" t="s">
        <v>30</v>
      </c>
      <c r="D802" s="1" t="s">
        <v>13</v>
      </c>
      <c r="E802" s="1" t="s">
        <v>82</v>
      </c>
      <c r="F802" s="1" t="s">
        <v>70</v>
      </c>
      <c r="G802" s="1" t="s">
        <v>148</v>
      </c>
      <c r="H802" s="1" t="s">
        <v>181</v>
      </c>
      <c r="I802" s="13" t="s">
        <v>99</v>
      </c>
      <c r="J802" s="81">
        <f>J803</f>
        <v>80000</v>
      </c>
      <c r="K802" s="81">
        <f t="shared" si="960"/>
        <v>80000</v>
      </c>
      <c r="L802" s="81">
        <f t="shared" si="960"/>
        <v>80000</v>
      </c>
      <c r="M802" s="81">
        <f t="shared" si="960"/>
        <v>0</v>
      </c>
      <c r="N802" s="81">
        <f t="shared" si="960"/>
        <v>0</v>
      </c>
      <c r="O802" s="81">
        <f t="shared" si="960"/>
        <v>0</v>
      </c>
      <c r="P802" s="81">
        <f>P803</f>
        <v>80000</v>
      </c>
      <c r="Q802" s="81">
        <f t="shared" si="961"/>
        <v>80000</v>
      </c>
      <c r="R802" s="81">
        <f t="shared" si="961"/>
        <v>80000</v>
      </c>
      <c r="S802" s="81">
        <f t="shared" si="961"/>
        <v>0</v>
      </c>
      <c r="T802" s="81">
        <f t="shared" si="961"/>
        <v>0</v>
      </c>
      <c r="U802" s="81">
        <f t="shared" si="961"/>
        <v>0</v>
      </c>
      <c r="V802" s="81">
        <f t="shared" si="940"/>
        <v>80000</v>
      </c>
      <c r="W802" s="81">
        <f t="shared" si="940"/>
        <v>80000</v>
      </c>
      <c r="X802" s="81">
        <f t="shared" si="940"/>
        <v>80000</v>
      </c>
    </row>
    <row r="803" spans="1:24">
      <c r="A803" s="188" t="s">
        <v>117</v>
      </c>
      <c r="B803" s="1" t="s">
        <v>402</v>
      </c>
      <c r="C803" s="1" t="s">
        <v>30</v>
      </c>
      <c r="D803" s="1" t="s">
        <v>13</v>
      </c>
      <c r="E803" s="1" t="s">
        <v>82</v>
      </c>
      <c r="F803" s="1" t="s">
        <v>70</v>
      </c>
      <c r="G803" s="1" t="s">
        <v>148</v>
      </c>
      <c r="H803" s="1" t="s">
        <v>181</v>
      </c>
      <c r="I803" s="13" t="s">
        <v>116</v>
      </c>
      <c r="J803" s="81">
        <v>80000</v>
      </c>
      <c r="K803" s="81">
        <v>80000</v>
      </c>
      <c r="L803" s="81">
        <v>80000</v>
      </c>
      <c r="M803" s="81"/>
      <c r="N803" s="81"/>
      <c r="O803" s="81"/>
      <c r="P803" s="81">
        <f>P1124</f>
        <v>80000</v>
      </c>
      <c r="Q803" s="81">
        <f t="shared" ref="Q803:U803" si="962">Q1124</f>
        <v>80000</v>
      </c>
      <c r="R803" s="81">
        <f t="shared" si="962"/>
        <v>80000</v>
      </c>
      <c r="S803" s="81">
        <f t="shared" si="962"/>
        <v>0</v>
      </c>
      <c r="T803" s="81">
        <f t="shared" si="962"/>
        <v>0</v>
      </c>
      <c r="U803" s="81">
        <f t="shared" si="962"/>
        <v>0</v>
      </c>
      <c r="V803" s="81">
        <f t="shared" si="940"/>
        <v>80000</v>
      </c>
      <c r="W803" s="81">
        <f t="shared" si="940"/>
        <v>80000</v>
      </c>
      <c r="X803" s="81">
        <f t="shared" si="940"/>
        <v>80000</v>
      </c>
    </row>
    <row r="804" spans="1:24" ht="25.5">
      <c r="A804" s="188" t="s">
        <v>399</v>
      </c>
      <c r="B804" s="1" t="s">
        <v>402</v>
      </c>
      <c r="C804" s="1" t="s">
        <v>30</v>
      </c>
      <c r="D804" s="1" t="s">
        <v>13</v>
      </c>
      <c r="E804" s="1" t="s">
        <v>82</v>
      </c>
      <c r="F804" s="1" t="s">
        <v>70</v>
      </c>
      <c r="G804" s="1" t="s">
        <v>148</v>
      </c>
      <c r="H804" s="1" t="s">
        <v>182</v>
      </c>
      <c r="I804" s="13"/>
      <c r="J804" s="81">
        <f>J805</f>
        <v>138000</v>
      </c>
      <c r="K804" s="81">
        <f t="shared" ref="K804:O805" si="963">K805</f>
        <v>138000</v>
      </c>
      <c r="L804" s="81">
        <f t="shared" si="963"/>
        <v>138000</v>
      </c>
      <c r="M804" s="81">
        <f t="shared" si="963"/>
        <v>0</v>
      </c>
      <c r="N804" s="81">
        <f t="shared" si="963"/>
        <v>0</v>
      </c>
      <c r="O804" s="81">
        <f t="shared" si="963"/>
        <v>0</v>
      </c>
      <c r="P804" s="81">
        <f>P805</f>
        <v>138000</v>
      </c>
      <c r="Q804" s="81">
        <f t="shared" ref="Q804:U805" si="964">Q805</f>
        <v>138000</v>
      </c>
      <c r="R804" s="81">
        <f t="shared" si="964"/>
        <v>138000</v>
      </c>
      <c r="S804" s="81">
        <f t="shared" si="964"/>
        <v>0</v>
      </c>
      <c r="T804" s="81">
        <f t="shared" si="964"/>
        <v>0</v>
      </c>
      <c r="U804" s="81">
        <f t="shared" si="964"/>
        <v>0</v>
      </c>
      <c r="V804" s="81">
        <f t="shared" si="940"/>
        <v>138000</v>
      </c>
      <c r="W804" s="81">
        <f t="shared" si="940"/>
        <v>138000</v>
      </c>
      <c r="X804" s="81">
        <f t="shared" si="940"/>
        <v>138000</v>
      </c>
    </row>
    <row r="805" spans="1:24">
      <c r="A805" s="9" t="s">
        <v>100</v>
      </c>
      <c r="B805" s="1" t="s">
        <v>402</v>
      </c>
      <c r="C805" s="1" t="s">
        <v>30</v>
      </c>
      <c r="D805" s="1" t="s">
        <v>13</v>
      </c>
      <c r="E805" s="1" t="s">
        <v>82</v>
      </c>
      <c r="F805" s="1" t="s">
        <v>70</v>
      </c>
      <c r="G805" s="1" t="s">
        <v>148</v>
      </c>
      <c r="H805" s="1" t="s">
        <v>182</v>
      </c>
      <c r="I805" s="13" t="s">
        <v>99</v>
      </c>
      <c r="J805" s="81">
        <f>J806</f>
        <v>138000</v>
      </c>
      <c r="K805" s="81">
        <f t="shared" si="963"/>
        <v>138000</v>
      </c>
      <c r="L805" s="81">
        <f t="shared" si="963"/>
        <v>138000</v>
      </c>
      <c r="M805" s="81">
        <f t="shared" si="963"/>
        <v>0</v>
      </c>
      <c r="N805" s="81">
        <f t="shared" si="963"/>
        <v>0</v>
      </c>
      <c r="O805" s="81">
        <f t="shared" si="963"/>
        <v>0</v>
      </c>
      <c r="P805" s="81">
        <f>P806</f>
        <v>138000</v>
      </c>
      <c r="Q805" s="81">
        <f t="shared" si="964"/>
        <v>138000</v>
      </c>
      <c r="R805" s="81">
        <f t="shared" si="964"/>
        <v>138000</v>
      </c>
      <c r="S805" s="81">
        <f t="shared" si="964"/>
        <v>0</v>
      </c>
      <c r="T805" s="81">
        <f t="shared" si="964"/>
        <v>0</v>
      </c>
      <c r="U805" s="81">
        <f t="shared" si="964"/>
        <v>0</v>
      </c>
      <c r="V805" s="81">
        <f t="shared" si="940"/>
        <v>138000</v>
      </c>
      <c r="W805" s="81">
        <f t="shared" si="940"/>
        <v>138000</v>
      </c>
      <c r="X805" s="81">
        <f t="shared" si="940"/>
        <v>138000</v>
      </c>
    </row>
    <row r="806" spans="1:24">
      <c r="A806" s="188" t="s">
        <v>117</v>
      </c>
      <c r="B806" s="1" t="s">
        <v>402</v>
      </c>
      <c r="C806" s="1" t="s">
        <v>30</v>
      </c>
      <c r="D806" s="1" t="s">
        <v>13</v>
      </c>
      <c r="E806" s="1" t="s">
        <v>82</v>
      </c>
      <c r="F806" s="1" t="s">
        <v>70</v>
      </c>
      <c r="G806" s="1" t="s">
        <v>148</v>
      </c>
      <c r="H806" s="1" t="s">
        <v>182</v>
      </c>
      <c r="I806" s="13" t="s">
        <v>116</v>
      </c>
      <c r="J806" s="81">
        <v>138000</v>
      </c>
      <c r="K806" s="81">
        <v>138000</v>
      </c>
      <c r="L806" s="81">
        <v>138000</v>
      </c>
      <c r="M806" s="81"/>
      <c r="N806" s="81"/>
      <c r="O806" s="81"/>
      <c r="P806" s="81">
        <f>P1127</f>
        <v>138000</v>
      </c>
      <c r="Q806" s="81">
        <f t="shared" ref="Q806:U806" si="965">Q1127</f>
        <v>138000</v>
      </c>
      <c r="R806" s="81">
        <f t="shared" si="965"/>
        <v>138000</v>
      </c>
      <c r="S806" s="81">
        <f t="shared" si="965"/>
        <v>0</v>
      </c>
      <c r="T806" s="81">
        <f t="shared" si="965"/>
        <v>0</v>
      </c>
      <c r="U806" s="81">
        <f t="shared" si="965"/>
        <v>0</v>
      </c>
      <c r="V806" s="81">
        <f t="shared" si="940"/>
        <v>138000</v>
      </c>
      <c r="W806" s="81">
        <f t="shared" si="940"/>
        <v>138000</v>
      </c>
      <c r="X806" s="81">
        <f t="shared" si="940"/>
        <v>138000</v>
      </c>
    </row>
    <row r="807" spans="1:24" ht="25.5">
      <c r="A807" s="188" t="s">
        <v>400</v>
      </c>
      <c r="B807" s="1" t="s">
        <v>402</v>
      </c>
      <c r="C807" s="1" t="s">
        <v>30</v>
      </c>
      <c r="D807" s="1" t="s">
        <v>13</v>
      </c>
      <c r="E807" s="1" t="s">
        <v>82</v>
      </c>
      <c r="F807" s="1" t="s">
        <v>70</v>
      </c>
      <c r="G807" s="1" t="s">
        <v>148</v>
      </c>
      <c r="H807" s="1" t="s">
        <v>183</v>
      </c>
      <c r="I807" s="13"/>
      <c r="J807" s="81">
        <f>J808</f>
        <v>50000</v>
      </c>
      <c r="K807" s="81">
        <f t="shared" ref="K807:O808" si="966">K808</f>
        <v>50000</v>
      </c>
      <c r="L807" s="81">
        <f t="shared" si="966"/>
        <v>50000</v>
      </c>
      <c r="M807" s="81">
        <f t="shared" si="966"/>
        <v>0</v>
      </c>
      <c r="N807" s="81">
        <f t="shared" si="966"/>
        <v>0</v>
      </c>
      <c r="O807" s="81">
        <f t="shared" si="966"/>
        <v>0</v>
      </c>
      <c r="P807" s="81">
        <f>P808+P810</f>
        <v>50000</v>
      </c>
      <c r="Q807" s="81">
        <f t="shared" ref="Q807:R807" si="967">Q808+Q810</f>
        <v>50000</v>
      </c>
      <c r="R807" s="81">
        <f t="shared" si="967"/>
        <v>50000</v>
      </c>
      <c r="S807" s="81">
        <f>S808+S810</f>
        <v>0</v>
      </c>
      <c r="T807" s="81">
        <f t="shared" ref="S807:U808" si="968">T808</f>
        <v>0</v>
      </c>
      <c r="U807" s="81">
        <f t="shared" si="968"/>
        <v>0</v>
      </c>
      <c r="V807" s="81">
        <f t="shared" si="940"/>
        <v>50000</v>
      </c>
      <c r="W807" s="81">
        <f t="shared" si="940"/>
        <v>50000</v>
      </c>
      <c r="X807" s="81">
        <f t="shared" si="940"/>
        <v>50000</v>
      </c>
    </row>
    <row r="808" spans="1:24" ht="25.5">
      <c r="A808" s="189" t="s">
        <v>260</v>
      </c>
      <c r="B808" s="1" t="s">
        <v>402</v>
      </c>
      <c r="C808" s="1" t="s">
        <v>30</v>
      </c>
      <c r="D808" s="1" t="s">
        <v>13</v>
      </c>
      <c r="E808" s="1" t="s">
        <v>82</v>
      </c>
      <c r="F808" s="1" t="s">
        <v>70</v>
      </c>
      <c r="G808" s="1" t="s">
        <v>148</v>
      </c>
      <c r="H808" s="1" t="s">
        <v>183</v>
      </c>
      <c r="I808" s="13" t="s">
        <v>94</v>
      </c>
      <c r="J808" s="81">
        <f>J809</f>
        <v>50000</v>
      </c>
      <c r="K808" s="81">
        <f t="shared" si="966"/>
        <v>50000</v>
      </c>
      <c r="L808" s="81">
        <f t="shared" si="966"/>
        <v>50000</v>
      </c>
      <c r="M808" s="81">
        <f t="shared" si="966"/>
        <v>0</v>
      </c>
      <c r="N808" s="81">
        <f t="shared" si="966"/>
        <v>0</v>
      </c>
      <c r="O808" s="81">
        <f t="shared" si="966"/>
        <v>0</v>
      </c>
      <c r="P808" s="81">
        <f>P809</f>
        <v>50000</v>
      </c>
      <c r="Q808" s="81">
        <f t="shared" ref="Q808:R808" si="969">Q809</f>
        <v>50000</v>
      </c>
      <c r="R808" s="81">
        <f t="shared" si="969"/>
        <v>50000</v>
      </c>
      <c r="S808" s="81">
        <f t="shared" si="968"/>
        <v>-50000</v>
      </c>
      <c r="T808" s="81">
        <f t="shared" si="968"/>
        <v>0</v>
      </c>
      <c r="U808" s="81">
        <f t="shared" si="968"/>
        <v>0</v>
      </c>
      <c r="V808" s="81">
        <f t="shared" si="940"/>
        <v>0</v>
      </c>
      <c r="W808" s="81">
        <f t="shared" si="940"/>
        <v>50000</v>
      </c>
      <c r="X808" s="81">
        <f t="shared" si="940"/>
        <v>50000</v>
      </c>
    </row>
    <row r="809" spans="1:24" ht="25.5">
      <c r="A809" s="188" t="s">
        <v>98</v>
      </c>
      <c r="B809" s="1" t="s">
        <v>402</v>
      </c>
      <c r="C809" s="1" t="s">
        <v>30</v>
      </c>
      <c r="D809" s="1" t="s">
        <v>13</v>
      </c>
      <c r="E809" s="1" t="s">
        <v>82</v>
      </c>
      <c r="F809" s="1" t="s">
        <v>70</v>
      </c>
      <c r="G809" s="1" t="s">
        <v>148</v>
      </c>
      <c r="H809" s="1" t="s">
        <v>183</v>
      </c>
      <c r="I809" s="13" t="s">
        <v>95</v>
      </c>
      <c r="J809" s="81">
        <v>50000</v>
      </c>
      <c r="K809" s="81">
        <v>50000</v>
      </c>
      <c r="L809" s="81">
        <v>50000</v>
      </c>
      <c r="M809" s="81"/>
      <c r="N809" s="81"/>
      <c r="O809" s="81"/>
      <c r="P809" s="81">
        <f>P1130</f>
        <v>50000</v>
      </c>
      <c r="Q809" s="81">
        <f t="shared" ref="Q809:U809" si="970">Q1130</f>
        <v>50000</v>
      </c>
      <c r="R809" s="81">
        <f t="shared" si="970"/>
        <v>50000</v>
      </c>
      <c r="S809" s="81">
        <f t="shared" si="970"/>
        <v>-50000</v>
      </c>
      <c r="T809" s="81">
        <f t="shared" si="970"/>
        <v>0</v>
      </c>
      <c r="U809" s="81">
        <f t="shared" si="970"/>
        <v>0</v>
      </c>
      <c r="V809" s="81">
        <f t="shared" si="940"/>
        <v>0</v>
      </c>
      <c r="W809" s="81">
        <f t="shared" si="940"/>
        <v>50000</v>
      </c>
      <c r="X809" s="81">
        <f t="shared" si="940"/>
        <v>50000</v>
      </c>
    </row>
    <row r="810" spans="1:24">
      <c r="A810" s="9" t="s">
        <v>100</v>
      </c>
      <c r="B810" s="1" t="s">
        <v>402</v>
      </c>
      <c r="C810" s="1" t="s">
        <v>30</v>
      </c>
      <c r="D810" s="1" t="s">
        <v>13</v>
      </c>
      <c r="E810" s="1" t="s">
        <v>82</v>
      </c>
      <c r="F810" s="1" t="s">
        <v>70</v>
      </c>
      <c r="G810" s="1" t="s">
        <v>148</v>
      </c>
      <c r="H810" s="1" t="s">
        <v>183</v>
      </c>
      <c r="I810" s="13" t="s">
        <v>99</v>
      </c>
      <c r="J810" s="81"/>
      <c r="K810" s="81"/>
      <c r="L810" s="81"/>
      <c r="M810" s="81"/>
      <c r="N810" s="81"/>
      <c r="O810" s="81"/>
      <c r="P810" s="81">
        <f>P811</f>
        <v>0</v>
      </c>
      <c r="Q810" s="81">
        <f t="shared" ref="Q810:R810" si="971">Q811</f>
        <v>0</v>
      </c>
      <c r="R810" s="81">
        <f t="shared" si="971"/>
        <v>0</v>
      </c>
      <c r="S810" s="81">
        <f>S811</f>
        <v>50000</v>
      </c>
      <c r="T810" s="81">
        <f t="shared" ref="T810:U810" si="972">T811</f>
        <v>0</v>
      </c>
      <c r="U810" s="81">
        <f t="shared" si="972"/>
        <v>0</v>
      </c>
      <c r="V810" s="81">
        <f t="shared" si="940"/>
        <v>50000</v>
      </c>
      <c r="W810" s="81">
        <f t="shared" si="940"/>
        <v>0</v>
      </c>
      <c r="X810" s="81">
        <f t="shared" si="940"/>
        <v>0</v>
      </c>
    </row>
    <row r="811" spans="1:24">
      <c r="A811" s="188" t="s">
        <v>117</v>
      </c>
      <c r="B811" s="1" t="s">
        <v>402</v>
      </c>
      <c r="C811" s="1" t="s">
        <v>30</v>
      </c>
      <c r="D811" s="1" t="s">
        <v>13</v>
      </c>
      <c r="E811" s="1" t="s">
        <v>82</v>
      </c>
      <c r="F811" s="1" t="s">
        <v>70</v>
      </c>
      <c r="G811" s="1" t="s">
        <v>148</v>
      </c>
      <c r="H811" s="1" t="s">
        <v>183</v>
      </c>
      <c r="I811" s="13" t="s">
        <v>116</v>
      </c>
      <c r="J811" s="81"/>
      <c r="K811" s="81"/>
      <c r="L811" s="81"/>
      <c r="M811" s="81"/>
      <c r="N811" s="81"/>
      <c r="O811" s="81"/>
      <c r="P811" s="81">
        <f>P1132</f>
        <v>0</v>
      </c>
      <c r="Q811" s="81">
        <f t="shared" ref="Q811:U811" si="973">Q1132</f>
        <v>0</v>
      </c>
      <c r="R811" s="81">
        <f t="shared" si="973"/>
        <v>0</v>
      </c>
      <c r="S811" s="81">
        <f t="shared" si="973"/>
        <v>50000</v>
      </c>
      <c r="T811" s="81">
        <f t="shared" si="973"/>
        <v>0</v>
      </c>
      <c r="U811" s="81">
        <f t="shared" si="973"/>
        <v>0</v>
      </c>
      <c r="V811" s="81">
        <f t="shared" si="940"/>
        <v>50000</v>
      </c>
      <c r="W811" s="81">
        <f t="shared" si="940"/>
        <v>0</v>
      </c>
      <c r="X811" s="81">
        <f t="shared" si="940"/>
        <v>0</v>
      </c>
    </row>
    <row r="812" spans="1:24">
      <c r="A812" s="190" t="s">
        <v>240</v>
      </c>
      <c r="B812" s="1" t="s">
        <v>402</v>
      </c>
      <c r="C812" s="1" t="s">
        <v>30</v>
      </c>
      <c r="D812" s="1" t="s">
        <v>13</v>
      </c>
      <c r="E812" s="1" t="s">
        <v>82</v>
      </c>
      <c r="F812" s="1" t="s">
        <v>70</v>
      </c>
      <c r="G812" s="1" t="s">
        <v>148</v>
      </c>
      <c r="H812" s="3" t="s">
        <v>241</v>
      </c>
      <c r="I812" s="16"/>
      <c r="J812" s="81">
        <f>J813</f>
        <v>0</v>
      </c>
      <c r="K812" s="81">
        <f t="shared" ref="K812:O813" si="974">K813</f>
        <v>0</v>
      </c>
      <c r="L812" s="81">
        <f t="shared" si="974"/>
        <v>0</v>
      </c>
      <c r="M812" s="81">
        <f t="shared" si="974"/>
        <v>78350</v>
      </c>
      <c r="N812" s="81">
        <f t="shared" si="974"/>
        <v>0</v>
      </c>
      <c r="O812" s="81">
        <f t="shared" si="974"/>
        <v>0</v>
      </c>
      <c r="P812" s="81">
        <f>P813</f>
        <v>78350</v>
      </c>
      <c r="Q812" s="81">
        <f t="shared" ref="Q812:U813" si="975">Q813</f>
        <v>0</v>
      </c>
      <c r="R812" s="81">
        <f t="shared" si="975"/>
        <v>0</v>
      </c>
      <c r="S812" s="81">
        <f t="shared" si="975"/>
        <v>0</v>
      </c>
      <c r="T812" s="81">
        <f t="shared" si="975"/>
        <v>0</v>
      </c>
      <c r="U812" s="81">
        <f t="shared" si="975"/>
        <v>0</v>
      </c>
      <c r="V812" s="81">
        <f t="shared" si="940"/>
        <v>78350</v>
      </c>
      <c r="W812" s="81">
        <f t="shared" si="940"/>
        <v>0</v>
      </c>
      <c r="X812" s="81">
        <f t="shared" si="940"/>
        <v>0</v>
      </c>
    </row>
    <row r="813" spans="1:24">
      <c r="A813" s="9" t="s">
        <v>100</v>
      </c>
      <c r="B813" s="1" t="s">
        <v>402</v>
      </c>
      <c r="C813" s="1" t="s">
        <v>30</v>
      </c>
      <c r="D813" s="1" t="s">
        <v>13</v>
      </c>
      <c r="E813" s="1" t="s">
        <v>82</v>
      </c>
      <c r="F813" s="1" t="s">
        <v>70</v>
      </c>
      <c r="G813" s="1" t="s">
        <v>148</v>
      </c>
      <c r="H813" s="3" t="s">
        <v>241</v>
      </c>
      <c r="I813" s="16" t="s">
        <v>99</v>
      </c>
      <c r="J813" s="81">
        <f>J814</f>
        <v>0</v>
      </c>
      <c r="K813" s="81">
        <f t="shared" si="974"/>
        <v>0</v>
      </c>
      <c r="L813" s="81">
        <f t="shared" si="974"/>
        <v>0</v>
      </c>
      <c r="M813" s="81">
        <f t="shared" si="974"/>
        <v>78350</v>
      </c>
      <c r="N813" s="81">
        <f t="shared" si="974"/>
        <v>0</v>
      </c>
      <c r="O813" s="81">
        <f t="shared" si="974"/>
        <v>0</v>
      </c>
      <c r="P813" s="81">
        <f>P814</f>
        <v>78350</v>
      </c>
      <c r="Q813" s="81">
        <f t="shared" si="975"/>
        <v>0</v>
      </c>
      <c r="R813" s="81">
        <f t="shared" si="975"/>
        <v>0</v>
      </c>
      <c r="S813" s="81">
        <f t="shared" si="975"/>
        <v>0</v>
      </c>
      <c r="T813" s="81">
        <f t="shared" si="975"/>
        <v>0</v>
      </c>
      <c r="U813" s="81">
        <f t="shared" si="975"/>
        <v>0</v>
      </c>
      <c r="V813" s="81">
        <f t="shared" si="940"/>
        <v>78350</v>
      </c>
      <c r="W813" s="81">
        <f t="shared" si="940"/>
        <v>0</v>
      </c>
      <c r="X813" s="81">
        <f t="shared" si="940"/>
        <v>0</v>
      </c>
    </row>
    <row r="814" spans="1:24">
      <c r="A814" s="188" t="s">
        <v>117</v>
      </c>
      <c r="B814" s="1" t="s">
        <v>402</v>
      </c>
      <c r="C814" s="1" t="s">
        <v>30</v>
      </c>
      <c r="D814" s="1" t="s">
        <v>13</v>
      </c>
      <c r="E814" s="1" t="s">
        <v>82</v>
      </c>
      <c r="F814" s="1" t="s">
        <v>70</v>
      </c>
      <c r="G814" s="1" t="s">
        <v>148</v>
      </c>
      <c r="H814" s="3" t="s">
        <v>241</v>
      </c>
      <c r="I814" s="16" t="s">
        <v>116</v>
      </c>
      <c r="J814" s="81"/>
      <c r="K814" s="81"/>
      <c r="L814" s="81"/>
      <c r="M814" s="81">
        <v>78350</v>
      </c>
      <c r="N814" s="81"/>
      <c r="O814" s="81"/>
      <c r="P814" s="81">
        <f>P1135</f>
        <v>78350</v>
      </c>
      <c r="Q814" s="81">
        <f t="shared" ref="Q814:U814" si="976">Q1135</f>
        <v>0</v>
      </c>
      <c r="R814" s="81">
        <f t="shared" si="976"/>
        <v>0</v>
      </c>
      <c r="S814" s="81">
        <f t="shared" si="976"/>
        <v>0</v>
      </c>
      <c r="T814" s="81">
        <f t="shared" si="976"/>
        <v>0</v>
      </c>
      <c r="U814" s="81">
        <f t="shared" si="976"/>
        <v>0</v>
      </c>
      <c r="V814" s="81">
        <f t="shared" si="940"/>
        <v>78350</v>
      </c>
      <c r="W814" s="81">
        <f t="shared" si="940"/>
        <v>0</v>
      </c>
      <c r="X814" s="81">
        <f t="shared" si="940"/>
        <v>0</v>
      </c>
    </row>
    <row r="815" spans="1:24">
      <c r="A815" s="188"/>
      <c r="B815" s="1"/>
      <c r="C815" s="1"/>
      <c r="D815" s="1"/>
      <c r="E815" s="1"/>
      <c r="F815" s="1"/>
      <c r="G815" s="1"/>
      <c r="H815" s="3"/>
      <c r="I815" s="16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</row>
    <row r="816" spans="1:24">
      <c r="A816" s="215" t="s">
        <v>21</v>
      </c>
      <c r="B816" s="14" t="s">
        <v>402</v>
      </c>
      <c r="C816" s="14" t="s">
        <v>30</v>
      </c>
      <c r="D816" s="14" t="s">
        <v>16</v>
      </c>
      <c r="E816" s="14"/>
      <c r="F816" s="14"/>
      <c r="G816" s="14"/>
      <c r="H816" s="1"/>
      <c r="I816" s="13"/>
      <c r="J816" s="101">
        <f>J817</f>
        <v>50000</v>
      </c>
      <c r="K816" s="101">
        <f t="shared" ref="K816:O816" si="977">K817</f>
        <v>50000</v>
      </c>
      <c r="L816" s="101">
        <f t="shared" si="977"/>
        <v>50000</v>
      </c>
      <c r="M816" s="101">
        <f t="shared" si="977"/>
        <v>0</v>
      </c>
      <c r="N816" s="101">
        <f t="shared" si="977"/>
        <v>0</v>
      </c>
      <c r="O816" s="101">
        <f t="shared" si="977"/>
        <v>0</v>
      </c>
      <c r="P816" s="101">
        <f>P817</f>
        <v>50000</v>
      </c>
      <c r="Q816" s="101">
        <f t="shared" ref="Q816:U819" si="978">Q817</f>
        <v>50000</v>
      </c>
      <c r="R816" s="101">
        <f t="shared" si="978"/>
        <v>50000</v>
      </c>
      <c r="S816" s="101">
        <f t="shared" si="978"/>
        <v>0</v>
      </c>
      <c r="T816" s="101">
        <f t="shared" si="978"/>
        <v>0</v>
      </c>
      <c r="U816" s="101">
        <f t="shared" si="978"/>
        <v>0</v>
      </c>
      <c r="V816" s="101">
        <f t="shared" si="940"/>
        <v>50000</v>
      </c>
      <c r="W816" s="101">
        <f t="shared" si="940"/>
        <v>50000</v>
      </c>
      <c r="X816" s="101">
        <f t="shared" si="940"/>
        <v>50000</v>
      </c>
    </row>
    <row r="817" spans="1:24" ht="38.25">
      <c r="A817" s="219" t="s">
        <v>293</v>
      </c>
      <c r="B817" s="1" t="s">
        <v>402</v>
      </c>
      <c r="C817" s="1" t="s">
        <v>30</v>
      </c>
      <c r="D817" s="1" t="s">
        <v>16</v>
      </c>
      <c r="E817" s="1" t="s">
        <v>31</v>
      </c>
      <c r="F817" s="1" t="s">
        <v>70</v>
      </c>
      <c r="G817" s="1" t="s">
        <v>148</v>
      </c>
      <c r="H817" s="1" t="s">
        <v>149</v>
      </c>
      <c r="I817" s="28"/>
      <c r="J817" s="102">
        <f>SUM(J818)</f>
        <v>50000</v>
      </c>
      <c r="K817" s="102">
        <f t="shared" ref="K817:O818" si="979">SUM(K818)</f>
        <v>50000</v>
      </c>
      <c r="L817" s="102">
        <f t="shared" si="979"/>
        <v>50000</v>
      </c>
      <c r="M817" s="102">
        <f t="shared" si="979"/>
        <v>0</v>
      </c>
      <c r="N817" s="102">
        <f t="shared" si="979"/>
        <v>0</v>
      </c>
      <c r="O817" s="102">
        <f t="shared" si="979"/>
        <v>0</v>
      </c>
      <c r="P817" s="102">
        <f>P818</f>
        <v>50000</v>
      </c>
      <c r="Q817" s="102">
        <f t="shared" si="978"/>
        <v>50000</v>
      </c>
      <c r="R817" s="102">
        <f t="shared" si="978"/>
        <v>50000</v>
      </c>
      <c r="S817" s="102">
        <f t="shared" ref="S817:U818" si="980">SUM(S818)</f>
        <v>0</v>
      </c>
      <c r="T817" s="102">
        <f t="shared" si="980"/>
        <v>0</v>
      </c>
      <c r="U817" s="102">
        <f t="shared" si="980"/>
        <v>0</v>
      </c>
      <c r="V817" s="102">
        <f t="shared" si="940"/>
        <v>50000</v>
      </c>
      <c r="W817" s="102">
        <f t="shared" si="940"/>
        <v>50000</v>
      </c>
      <c r="X817" s="102">
        <f t="shared" si="940"/>
        <v>50000</v>
      </c>
    </row>
    <row r="818" spans="1:24" ht="25.5">
      <c r="A818" s="9" t="s">
        <v>123</v>
      </c>
      <c r="B818" s="1" t="s">
        <v>402</v>
      </c>
      <c r="C818" s="1" t="s">
        <v>30</v>
      </c>
      <c r="D818" s="1" t="s">
        <v>16</v>
      </c>
      <c r="E818" s="1" t="s">
        <v>31</v>
      </c>
      <c r="F818" s="1" t="s">
        <v>70</v>
      </c>
      <c r="G818" s="1" t="s">
        <v>148</v>
      </c>
      <c r="H818" s="1" t="s">
        <v>184</v>
      </c>
      <c r="I818" s="28"/>
      <c r="J818" s="102">
        <f>SUM(J819)</f>
        <v>50000</v>
      </c>
      <c r="K818" s="102">
        <f t="shared" si="979"/>
        <v>50000</v>
      </c>
      <c r="L818" s="102">
        <f t="shared" si="979"/>
        <v>50000</v>
      </c>
      <c r="M818" s="102">
        <f t="shared" si="979"/>
        <v>0</v>
      </c>
      <c r="N818" s="102">
        <f t="shared" si="979"/>
        <v>0</v>
      </c>
      <c r="O818" s="102">
        <f t="shared" si="979"/>
        <v>0</v>
      </c>
      <c r="P818" s="102">
        <f>P819</f>
        <v>50000</v>
      </c>
      <c r="Q818" s="102">
        <f t="shared" si="978"/>
        <v>50000</v>
      </c>
      <c r="R818" s="102">
        <f t="shared" si="978"/>
        <v>50000</v>
      </c>
      <c r="S818" s="102">
        <f t="shared" si="980"/>
        <v>0</v>
      </c>
      <c r="T818" s="102">
        <f t="shared" si="980"/>
        <v>0</v>
      </c>
      <c r="U818" s="102">
        <f t="shared" si="980"/>
        <v>0</v>
      </c>
      <c r="V818" s="102">
        <f t="shared" ref="V818:X828" si="981">P818+S818</f>
        <v>50000</v>
      </c>
      <c r="W818" s="102">
        <f t="shared" si="981"/>
        <v>50000</v>
      </c>
      <c r="X818" s="102">
        <f t="shared" si="981"/>
        <v>50000</v>
      </c>
    </row>
    <row r="819" spans="1:24" ht="25.5">
      <c r="A819" s="189" t="s">
        <v>260</v>
      </c>
      <c r="B819" s="10" t="s">
        <v>402</v>
      </c>
      <c r="C819" s="1" t="s">
        <v>30</v>
      </c>
      <c r="D819" s="1" t="s">
        <v>16</v>
      </c>
      <c r="E819" s="1" t="s">
        <v>31</v>
      </c>
      <c r="F819" s="1" t="s">
        <v>70</v>
      </c>
      <c r="G819" s="1" t="s">
        <v>148</v>
      </c>
      <c r="H819" s="1" t="s">
        <v>184</v>
      </c>
      <c r="I819" s="17" t="s">
        <v>94</v>
      </c>
      <c r="J819" s="102">
        <f>J820</f>
        <v>50000</v>
      </c>
      <c r="K819" s="102">
        <f t="shared" ref="K819:O819" si="982">K820</f>
        <v>50000</v>
      </c>
      <c r="L819" s="102">
        <f t="shared" si="982"/>
        <v>50000</v>
      </c>
      <c r="M819" s="102">
        <f t="shared" si="982"/>
        <v>0</v>
      </c>
      <c r="N819" s="102">
        <f t="shared" si="982"/>
        <v>0</v>
      </c>
      <c r="O819" s="102">
        <f t="shared" si="982"/>
        <v>0</v>
      </c>
      <c r="P819" s="102">
        <f>P820</f>
        <v>50000</v>
      </c>
      <c r="Q819" s="102">
        <f t="shared" si="978"/>
        <v>50000</v>
      </c>
      <c r="R819" s="102">
        <f t="shared" si="978"/>
        <v>50000</v>
      </c>
      <c r="S819" s="102">
        <f t="shared" si="978"/>
        <v>0</v>
      </c>
      <c r="T819" s="102">
        <f t="shared" si="978"/>
        <v>0</v>
      </c>
      <c r="U819" s="102">
        <f t="shared" si="978"/>
        <v>0</v>
      </c>
      <c r="V819" s="102">
        <f t="shared" si="981"/>
        <v>50000</v>
      </c>
      <c r="W819" s="102">
        <f t="shared" si="981"/>
        <v>50000</v>
      </c>
      <c r="X819" s="102">
        <f t="shared" si="981"/>
        <v>50000</v>
      </c>
    </row>
    <row r="820" spans="1:24" ht="25.5">
      <c r="A820" s="188" t="s">
        <v>98</v>
      </c>
      <c r="B820" s="10" t="s">
        <v>402</v>
      </c>
      <c r="C820" s="1" t="s">
        <v>30</v>
      </c>
      <c r="D820" s="1" t="s">
        <v>16</v>
      </c>
      <c r="E820" s="1" t="s">
        <v>31</v>
      </c>
      <c r="F820" s="1" t="s">
        <v>70</v>
      </c>
      <c r="G820" s="1" t="s">
        <v>148</v>
      </c>
      <c r="H820" s="1" t="s">
        <v>184</v>
      </c>
      <c r="I820" s="17" t="s">
        <v>95</v>
      </c>
      <c r="J820" s="102">
        <v>50000</v>
      </c>
      <c r="K820" s="102">
        <v>50000</v>
      </c>
      <c r="L820" s="102">
        <v>50000</v>
      </c>
      <c r="M820" s="102"/>
      <c r="N820" s="102"/>
      <c r="O820" s="102"/>
      <c r="P820" s="102">
        <f>P1140</f>
        <v>50000</v>
      </c>
      <c r="Q820" s="102">
        <f t="shared" ref="Q820:U820" si="983">Q1140</f>
        <v>50000</v>
      </c>
      <c r="R820" s="102">
        <f t="shared" si="983"/>
        <v>50000</v>
      </c>
      <c r="S820" s="102">
        <f t="shared" si="983"/>
        <v>0</v>
      </c>
      <c r="T820" s="102">
        <f t="shared" si="983"/>
        <v>0</v>
      </c>
      <c r="U820" s="102">
        <f t="shared" si="983"/>
        <v>0</v>
      </c>
      <c r="V820" s="102">
        <f t="shared" si="981"/>
        <v>50000</v>
      </c>
      <c r="W820" s="102">
        <f t="shared" si="981"/>
        <v>50000</v>
      </c>
      <c r="X820" s="102">
        <f t="shared" si="981"/>
        <v>50000</v>
      </c>
    </row>
    <row r="821" spans="1:24">
      <c r="A821" s="188"/>
      <c r="B821" s="10"/>
      <c r="C821" s="1"/>
      <c r="D821" s="1"/>
      <c r="E821" s="1"/>
      <c r="F821" s="1"/>
      <c r="G821" s="1"/>
      <c r="H821" s="1"/>
      <c r="I821" s="17"/>
      <c r="J821" s="102"/>
      <c r="K821" s="102"/>
      <c r="L821" s="102"/>
      <c r="M821" s="102"/>
      <c r="N821" s="102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</row>
    <row r="822" spans="1:24" ht="15" customHeight="1">
      <c r="A822" s="187" t="s">
        <v>112</v>
      </c>
      <c r="B822" s="29" t="s">
        <v>402</v>
      </c>
      <c r="C822" s="29" t="s">
        <v>49</v>
      </c>
      <c r="D822" s="29"/>
      <c r="E822" s="29"/>
      <c r="F822" s="29"/>
      <c r="G822" s="29"/>
      <c r="H822" s="29"/>
      <c r="I822" s="32"/>
      <c r="J822" s="100">
        <f t="shared" ref="J822:O822" si="984">+J823</f>
        <v>10000</v>
      </c>
      <c r="K822" s="100">
        <f t="shared" si="984"/>
        <v>10000</v>
      </c>
      <c r="L822" s="100">
        <f t="shared" si="984"/>
        <v>9600</v>
      </c>
      <c r="M822" s="100">
        <f t="shared" si="984"/>
        <v>0</v>
      </c>
      <c r="N822" s="100">
        <f t="shared" si="984"/>
        <v>0</v>
      </c>
      <c r="O822" s="100">
        <f t="shared" si="984"/>
        <v>0</v>
      </c>
      <c r="P822" s="100">
        <f t="shared" ref="P822:U827" si="985">P823</f>
        <v>10000</v>
      </c>
      <c r="Q822" s="100">
        <f t="shared" si="985"/>
        <v>10000</v>
      </c>
      <c r="R822" s="100">
        <f t="shared" si="985"/>
        <v>9600</v>
      </c>
      <c r="S822" s="100">
        <f t="shared" ref="S822:U822" si="986">+S823</f>
        <v>0</v>
      </c>
      <c r="T822" s="100">
        <f t="shared" si="986"/>
        <v>0</v>
      </c>
      <c r="U822" s="100">
        <f t="shared" si="986"/>
        <v>0</v>
      </c>
      <c r="V822" s="100">
        <f t="shared" si="981"/>
        <v>10000</v>
      </c>
      <c r="W822" s="100">
        <f t="shared" si="981"/>
        <v>10000</v>
      </c>
      <c r="X822" s="100">
        <f t="shared" si="981"/>
        <v>9600</v>
      </c>
    </row>
    <row r="823" spans="1:24">
      <c r="A823" s="215" t="s">
        <v>261</v>
      </c>
      <c r="B823" s="15" t="s">
        <v>402</v>
      </c>
      <c r="C823" s="15" t="s">
        <v>49</v>
      </c>
      <c r="D823" s="15" t="s">
        <v>20</v>
      </c>
      <c r="E823" s="15"/>
      <c r="F823" s="15"/>
      <c r="G823" s="15"/>
      <c r="H823" s="15"/>
      <c r="I823" s="26"/>
      <c r="J823" s="101">
        <f t="shared" ref="J823:O827" si="987">J824</f>
        <v>10000</v>
      </c>
      <c r="K823" s="101">
        <f t="shared" si="987"/>
        <v>10000</v>
      </c>
      <c r="L823" s="101">
        <f t="shared" si="987"/>
        <v>9600</v>
      </c>
      <c r="M823" s="101">
        <f t="shared" si="987"/>
        <v>0</v>
      </c>
      <c r="N823" s="101">
        <f t="shared" si="987"/>
        <v>0</v>
      </c>
      <c r="O823" s="101">
        <f t="shared" si="987"/>
        <v>0</v>
      </c>
      <c r="P823" s="101">
        <f t="shared" si="985"/>
        <v>10000</v>
      </c>
      <c r="Q823" s="101">
        <f t="shared" si="985"/>
        <v>10000</v>
      </c>
      <c r="R823" s="101">
        <f t="shared" si="985"/>
        <v>9600</v>
      </c>
      <c r="S823" s="101">
        <f t="shared" si="985"/>
        <v>0</v>
      </c>
      <c r="T823" s="101">
        <f t="shared" si="985"/>
        <v>0</v>
      </c>
      <c r="U823" s="101">
        <f t="shared" si="985"/>
        <v>0</v>
      </c>
      <c r="V823" s="101">
        <f t="shared" si="981"/>
        <v>10000</v>
      </c>
      <c r="W823" s="101">
        <f t="shared" si="981"/>
        <v>10000</v>
      </c>
      <c r="X823" s="101">
        <f t="shared" si="981"/>
        <v>9600</v>
      </c>
    </row>
    <row r="824" spans="1:24" ht="38.25">
      <c r="A824" s="220" t="s">
        <v>294</v>
      </c>
      <c r="B824" s="10" t="s">
        <v>402</v>
      </c>
      <c r="C824" s="35" t="s">
        <v>49</v>
      </c>
      <c r="D824" s="35" t="s">
        <v>20</v>
      </c>
      <c r="E824" s="35" t="s">
        <v>19</v>
      </c>
      <c r="F824" s="35" t="s">
        <v>70</v>
      </c>
      <c r="G824" s="35" t="s">
        <v>148</v>
      </c>
      <c r="H824" s="35" t="s">
        <v>149</v>
      </c>
      <c r="I824" s="36"/>
      <c r="J824" s="81">
        <f t="shared" si="987"/>
        <v>10000</v>
      </c>
      <c r="K824" s="81">
        <f t="shared" si="987"/>
        <v>10000</v>
      </c>
      <c r="L824" s="81">
        <f t="shared" si="987"/>
        <v>9600</v>
      </c>
      <c r="M824" s="81">
        <f t="shared" si="987"/>
        <v>0</v>
      </c>
      <c r="N824" s="81">
        <f t="shared" si="987"/>
        <v>0</v>
      </c>
      <c r="O824" s="81">
        <f t="shared" si="987"/>
        <v>0</v>
      </c>
      <c r="P824" s="81">
        <f t="shared" si="985"/>
        <v>10000</v>
      </c>
      <c r="Q824" s="81">
        <f t="shared" si="985"/>
        <v>10000</v>
      </c>
      <c r="R824" s="81">
        <f t="shared" si="985"/>
        <v>9600</v>
      </c>
      <c r="S824" s="81">
        <f t="shared" si="985"/>
        <v>0</v>
      </c>
      <c r="T824" s="81">
        <f t="shared" si="985"/>
        <v>0</v>
      </c>
      <c r="U824" s="81">
        <f t="shared" si="985"/>
        <v>0</v>
      </c>
      <c r="V824" s="81">
        <f t="shared" si="981"/>
        <v>10000</v>
      </c>
      <c r="W824" s="81">
        <f t="shared" si="981"/>
        <v>10000</v>
      </c>
      <c r="X824" s="81">
        <f t="shared" si="981"/>
        <v>9600</v>
      </c>
    </row>
    <row r="825" spans="1:24" ht="25.5">
      <c r="A825" s="220" t="s">
        <v>295</v>
      </c>
      <c r="B825" s="10" t="s">
        <v>402</v>
      </c>
      <c r="C825" s="35" t="s">
        <v>49</v>
      </c>
      <c r="D825" s="35" t="s">
        <v>20</v>
      </c>
      <c r="E825" s="35" t="s">
        <v>19</v>
      </c>
      <c r="F825" s="35" t="s">
        <v>134</v>
      </c>
      <c r="G825" s="35" t="s">
        <v>148</v>
      </c>
      <c r="H825" s="35" t="s">
        <v>149</v>
      </c>
      <c r="I825" s="36"/>
      <c r="J825" s="81">
        <f t="shared" si="987"/>
        <v>10000</v>
      </c>
      <c r="K825" s="81">
        <f t="shared" si="987"/>
        <v>10000</v>
      </c>
      <c r="L825" s="81">
        <f t="shared" si="987"/>
        <v>9600</v>
      </c>
      <c r="M825" s="81">
        <f t="shared" si="987"/>
        <v>0</v>
      </c>
      <c r="N825" s="81">
        <f t="shared" si="987"/>
        <v>0</v>
      </c>
      <c r="O825" s="81">
        <f t="shared" si="987"/>
        <v>0</v>
      </c>
      <c r="P825" s="81">
        <f t="shared" si="985"/>
        <v>10000</v>
      </c>
      <c r="Q825" s="81">
        <f t="shared" si="985"/>
        <v>10000</v>
      </c>
      <c r="R825" s="81">
        <f t="shared" si="985"/>
        <v>9600</v>
      </c>
      <c r="S825" s="81">
        <f t="shared" si="985"/>
        <v>0</v>
      </c>
      <c r="T825" s="81">
        <f t="shared" si="985"/>
        <v>0</v>
      </c>
      <c r="U825" s="81">
        <f t="shared" si="985"/>
        <v>0</v>
      </c>
      <c r="V825" s="81">
        <f t="shared" si="981"/>
        <v>10000</v>
      </c>
      <c r="W825" s="81">
        <f t="shared" si="981"/>
        <v>10000</v>
      </c>
      <c r="X825" s="81">
        <f t="shared" si="981"/>
        <v>9600</v>
      </c>
    </row>
    <row r="826" spans="1:24">
      <c r="A826" s="9" t="s">
        <v>109</v>
      </c>
      <c r="B826" s="10" t="s">
        <v>402</v>
      </c>
      <c r="C826" s="35" t="s">
        <v>49</v>
      </c>
      <c r="D826" s="35" t="s">
        <v>20</v>
      </c>
      <c r="E826" s="35" t="s">
        <v>19</v>
      </c>
      <c r="F826" s="35" t="s">
        <v>134</v>
      </c>
      <c r="G826" s="35" t="s">
        <v>148</v>
      </c>
      <c r="H826" s="35" t="s">
        <v>187</v>
      </c>
      <c r="I826" s="36"/>
      <c r="J826" s="81">
        <f t="shared" si="987"/>
        <v>10000</v>
      </c>
      <c r="K826" s="81">
        <f t="shared" si="987"/>
        <v>10000</v>
      </c>
      <c r="L826" s="81">
        <f t="shared" si="987"/>
        <v>9600</v>
      </c>
      <c r="M826" s="81">
        <f t="shared" si="987"/>
        <v>0</v>
      </c>
      <c r="N826" s="81">
        <f t="shared" si="987"/>
        <v>0</v>
      </c>
      <c r="O826" s="81">
        <f t="shared" si="987"/>
        <v>0</v>
      </c>
      <c r="P826" s="81">
        <f t="shared" si="985"/>
        <v>10000</v>
      </c>
      <c r="Q826" s="81">
        <f t="shared" si="985"/>
        <v>10000</v>
      </c>
      <c r="R826" s="81">
        <f t="shared" si="985"/>
        <v>9600</v>
      </c>
      <c r="S826" s="81">
        <f t="shared" si="985"/>
        <v>0</v>
      </c>
      <c r="T826" s="81">
        <f t="shared" si="985"/>
        <v>0</v>
      </c>
      <c r="U826" s="81">
        <f t="shared" si="985"/>
        <v>0</v>
      </c>
      <c r="V826" s="81">
        <f t="shared" si="981"/>
        <v>10000</v>
      </c>
      <c r="W826" s="81">
        <f t="shared" si="981"/>
        <v>10000</v>
      </c>
      <c r="X826" s="81">
        <f t="shared" si="981"/>
        <v>9600</v>
      </c>
    </row>
    <row r="827" spans="1:24">
      <c r="A827" s="9" t="s">
        <v>112</v>
      </c>
      <c r="B827" s="10" t="s">
        <v>402</v>
      </c>
      <c r="C827" s="35" t="s">
        <v>49</v>
      </c>
      <c r="D827" s="35" t="s">
        <v>20</v>
      </c>
      <c r="E827" s="35" t="s">
        <v>19</v>
      </c>
      <c r="F827" s="35" t="s">
        <v>134</v>
      </c>
      <c r="G827" s="35" t="s">
        <v>148</v>
      </c>
      <c r="H827" s="35" t="s">
        <v>187</v>
      </c>
      <c r="I827" s="36" t="s">
        <v>110</v>
      </c>
      <c r="J827" s="81">
        <f t="shared" si="987"/>
        <v>10000</v>
      </c>
      <c r="K827" s="81">
        <f t="shared" si="987"/>
        <v>10000</v>
      </c>
      <c r="L827" s="81">
        <f t="shared" si="987"/>
        <v>9600</v>
      </c>
      <c r="M827" s="81">
        <f t="shared" si="987"/>
        <v>0</v>
      </c>
      <c r="N827" s="81">
        <f t="shared" si="987"/>
        <v>0</v>
      </c>
      <c r="O827" s="81">
        <f t="shared" si="987"/>
        <v>0</v>
      </c>
      <c r="P827" s="81">
        <f t="shared" si="985"/>
        <v>10000</v>
      </c>
      <c r="Q827" s="81">
        <f t="shared" si="985"/>
        <v>10000</v>
      </c>
      <c r="R827" s="81">
        <f t="shared" si="985"/>
        <v>9600</v>
      </c>
      <c r="S827" s="81">
        <f t="shared" si="985"/>
        <v>0</v>
      </c>
      <c r="T827" s="81">
        <f t="shared" si="985"/>
        <v>0</v>
      </c>
      <c r="U827" s="81">
        <f t="shared" si="985"/>
        <v>0</v>
      </c>
      <c r="V827" s="81">
        <f t="shared" si="981"/>
        <v>10000</v>
      </c>
      <c r="W827" s="81">
        <f t="shared" si="981"/>
        <v>10000</v>
      </c>
      <c r="X827" s="81">
        <f t="shared" si="981"/>
        <v>9600</v>
      </c>
    </row>
    <row r="828" spans="1:24">
      <c r="A828" s="9" t="s">
        <v>109</v>
      </c>
      <c r="B828" s="10" t="s">
        <v>402</v>
      </c>
      <c r="C828" s="35" t="s">
        <v>49</v>
      </c>
      <c r="D828" s="35" t="s">
        <v>20</v>
      </c>
      <c r="E828" s="35" t="s">
        <v>19</v>
      </c>
      <c r="F828" s="35" t="s">
        <v>134</v>
      </c>
      <c r="G828" s="35" t="s">
        <v>148</v>
      </c>
      <c r="H828" s="1" t="s">
        <v>187</v>
      </c>
      <c r="I828" s="36" t="s">
        <v>111</v>
      </c>
      <c r="J828" s="81">
        <v>10000</v>
      </c>
      <c r="K828" s="81">
        <v>10000</v>
      </c>
      <c r="L828" s="81">
        <v>9600</v>
      </c>
      <c r="M828" s="81"/>
      <c r="N828" s="81"/>
      <c r="O828" s="81"/>
      <c r="P828" s="81">
        <f>P1147</f>
        <v>10000</v>
      </c>
      <c r="Q828" s="81">
        <f t="shared" ref="Q828:U828" si="988">Q1147</f>
        <v>10000</v>
      </c>
      <c r="R828" s="81">
        <f t="shared" si="988"/>
        <v>9600</v>
      </c>
      <c r="S828" s="81">
        <f t="shared" si="988"/>
        <v>0</v>
      </c>
      <c r="T828" s="81">
        <f t="shared" si="988"/>
        <v>0</v>
      </c>
      <c r="U828" s="81">
        <f t="shared" si="988"/>
        <v>0</v>
      </c>
      <c r="V828" s="81">
        <f t="shared" si="981"/>
        <v>10000</v>
      </c>
      <c r="W828" s="81">
        <f t="shared" si="981"/>
        <v>10000</v>
      </c>
      <c r="X828" s="81">
        <f t="shared" si="981"/>
        <v>9600</v>
      </c>
    </row>
    <row r="829" spans="1:24">
      <c r="A829" s="294"/>
      <c r="B829" s="295"/>
      <c r="C829" s="296"/>
      <c r="D829" s="296"/>
      <c r="E829" s="296"/>
      <c r="F829" s="296"/>
      <c r="G829" s="296"/>
      <c r="H829" s="296"/>
      <c r="I829" s="296"/>
      <c r="J829" s="108"/>
      <c r="K829" s="108"/>
      <c r="L829" s="108"/>
      <c r="M829" s="108"/>
      <c r="N829" s="108"/>
      <c r="O829" s="108"/>
      <c r="P829" s="108"/>
      <c r="Q829" s="108"/>
      <c r="R829" s="108"/>
      <c r="S829" s="108"/>
      <c r="T829" s="108"/>
      <c r="U829" s="108"/>
      <c r="V829" s="108"/>
      <c r="W829" s="108"/>
      <c r="X829" s="108"/>
    </row>
    <row r="830" spans="1:24" s="185" customFormat="1" ht="17.25" hidden="1">
      <c r="A830" s="184" t="s">
        <v>459</v>
      </c>
      <c r="P830" s="186">
        <f>P831+P903+P934+P997+P1064+P1076+P1086+P1097+P1141+P895</f>
        <v>214655629.89999998</v>
      </c>
      <c r="Q830" s="186">
        <f t="shared" ref="Q830:X830" si="989">Q831+Q903+Q934+Q997+Q1064+Q1076+Q1086+Q1097+Q1141+Q895</f>
        <v>121640075.54000001</v>
      </c>
      <c r="R830" s="186">
        <f t="shared" si="989"/>
        <v>118198873.29000001</v>
      </c>
      <c r="S830" s="186">
        <f t="shared" si="989"/>
        <v>99705165.810000002</v>
      </c>
      <c r="T830" s="186">
        <f t="shared" si="989"/>
        <v>0</v>
      </c>
      <c r="U830" s="186">
        <f t="shared" si="989"/>
        <v>0</v>
      </c>
      <c r="V830" s="186">
        <f t="shared" si="989"/>
        <v>314360795.71000004</v>
      </c>
      <c r="W830" s="186">
        <f t="shared" si="989"/>
        <v>121640075.54000001</v>
      </c>
      <c r="X830" s="186">
        <f t="shared" si="989"/>
        <v>118198873.29000001</v>
      </c>
    </row>
    <row r="831" spans="1:24" s="229" customFormat="1" ht="15.75" hidden="1">
      <c r="A831" s="225" t="s">
        <v>32</v>
      </c>
      <c r="B831" s="226" t="s">
        <v>402</v>
      </c>
      <c r="C831" s="226" t="s">
        <v>20</v>
      </c>
      <c r="D831" s="227"/>
      <c r="E831" s="227"/>
      <c r="F831" s="227"/>
      <c r="G831" s="227"/>
      <c r="H831" s="227"/>
      <c r="I831" s="227"/>
      <c r="J831" s="228"/>
      <c r="K831" s="228"/>
      <c r="L831" s="228"/>
      <c r="M831" s="228"/>
      <c r="N831" s="228"/>
      <c r="O831" s="228"/>
      <c r="P831" s="228">
        <f t="shared" ref="P831:U831" si="990">P832+P837+P868+P873</f>
        <v>71139413.170000002</v>
      </c>
      <c r="Q831" s="228">
        <f t="shared" si="990"/>
        <v>66260048.300000004</v>
      </c>
      <c r="R831" s="228">
        <f t="shared" si="990"/>
        <v>64959310.090000004</v>
      </c>
      <c r="S831" s="228">
        <f t="shared" si="990"/>
        <v>1030356.26</v>
      </c>
      <c r="T831" s="228">
        <f t="shared" si="990"/>
        <v>0</v>
      </c>
      <c r="U831" s="228">
        <f t="shared" si="990"/>
        <v>0</v>
      </c>
      <c r="V831" s="228">
        <f>P831+S831</f>
        <v>72169769.430000007</v>
      </c>
      <c r="W831" s="228">
        <f t="shared" ref="W831:X846" si="991">Q831+T831</f>
        <v>66260048.300000004</v>
      </c>
      <c r="X831" s="228">
        <f t="shared" si="991"/>
        <v>64959310.090000004</v>
      </c>
    </row>
    <row r="832" spans="1:24" s="229" customFormat="1" ht="25.5" hidden="1">
      <c r="A832" s="230" t="s">
        <v>45</v>
      </c>
      <c r="B832" s="231" t="s">
        <v>402</v>
      </c>
      <c r="C832" s="231" t="s">
        <v>20</v>
      </c>
      <c r="D832" s="232" t="s">
        <v>17</v>
      </c>
      <c r="E832" s="232"/>
      <c r="F832" s="232"/>
      <c r="G832" s="232"/>
      <c r="H832" s="232"/>
      <c r="I832" s="233"/>
      <c r="J832" s="234"/>
      <c r="K832" s="234"/>
      <c r="L832" s="234"/>
      <c r="M832" s="234"/>
      <c r="N832" s="234"/>
      <c r="O832" s="234"/>
      <c r="P832" s="234">
        <f>P833</f>
        <v>3920905</v>
      </c>
      <c r="Q832" s="234">
        <f t="shared" ref="Q832:U835" si="992">Q833</f>
        <v>3960114.35</v>
      </c>
      <c r="R832" s="234">
        <f t="shared" si="992"/>
        <v>3999715.49</v>
      </c>
      <c r="S832" s="234">
        <f t="shared" si="992"/>
        <v>0</v>
      </c>
      <c r="T832" s="234">
        <f t="shared" si="992"/>
        <v>0</v>
      </c>
      <c r="U832" s="234">
        <f t="shared" si="992"/>
        <v>0</v>
      </c>
      <c r="V832" s="234">
        <f t="shared" ref="V832:X847" si="993">P832+S832</f>
        <v>3920905</v>
      </c>
      <c r="W832" s="234">
        <f t="shared" si="991"/>
        <v>3960114.35</v>
      </c>
      <c r="X832" s="234">
        <f t="shared" si="991"/>
        <v>3999715.49</v>
      </c>
    </row>
    <row r="833" spans="1:24" s="229" customFormat="1" hidden="1">
      <c r="A833" s="235" t="s">
        <v>83</v>
      </c>
      <c r="B833" s="236" t="s">
        <v>402</v>
      </c>
      <c r="C833" s="236" t="s">
        <v>20</v>
      </c>
      <c r="D833" s="236" t="s">
        <v>17</v>
      </c>
      <c r="E833" s="236" t="s">
        <v>82</v>
      </c>
      <c r="F833" s="236" t="s">
        <v>70</v>
      </c>
      <c r="G833" s="227" t="s">
        <v>148</v>
      </c>
      <c r="H833" s="227" t="s">
        <v>149</v>
      </c>
      <c r="I833" s="237"/>
      <c r="J833" s="238"/>
      <c r="K833" s="238"/>
      <c r="L833" s="238"/>
      <c r="M833" s="238"/>
      <c r="N833" s="238"/>
      <c r="O833" s="238"/>
      <c r="P833" s="238">
        <f>P834</f>
        <v>3920905</v>
      </c>
      <c r="Q833" s="238">
        <f t="shared" si="992"/>
        <v>3960114.35</v>
      </c>
      <c r="R833" s="238">
        <f t="shared" si="992"/>
        <v>3999715.49</v>
      </c>
      <c r="S833" s="238">
        <f t="shared" si="992"/>
        <v>0</v>
      </c>
      <c r="T833" s="238">
        <f t="shared" si="992"/>
        <v>0</v>
      </c>
      <c r="U833" s="238">
        <f t="shared" si="992"/>
        <v>0</v>
      </c>
      <c r="V833" s="238">
        <f t="shared" si="993"/>
        <v>3920905</v>
      </c>
      <c r="W833" s="238">
        <f t="shared" si="991"/>
        <v>3960114.35</v>
      </c>
      <c r="X833" s="238">
        <f t="shared" si="991"/>
        <v>3999715.49</v>
      </c>
    </row>
    <row r="834" spans="1:24" s="229" customFormat="1" hidden="1">
      <c r="A834" s="235" t="s">
        <v>330</v>
      </c>
      <c r="B834" s="236" t="s">
        <v>402</v>
      </c>
      <c r="C834" s="236" t="s">
        <v>20</v>
      </c>
      <c r="D834" s="236" t="s">
        <v>17</v>
      </c>
      <c r="E834" s="236" t="s">
        <v>82</v>
      </c>
      <c r="F834" s="236" t="s">
        <v>70</v>
      </c>
      <c r="G834" s="227" t="s">
        <v>148</v>
      </c>
      <c r="H834" s="227" t="s">
        <v>210</v>
      </c>
      <c r="I834" s="237"/>
      <c r="J834" s="238"/>
      <c r="K834" s="238"/>
      <c r="L834" s="238"/>
      <c r="M834" s="238"/>
      <c r="N834" s="238"/>
      <c r="O834" s="238"/>
      <c r="P834" s="238">
        <f>P835</f>
        <v>3920905</v>
      </c>
      <c r="Q834" s="238">
        <f t="shared" si="992"/>
        <v>3960114.35</v>
      </c>
      <c r="R834" s="238">
        <f t="shared" si="992"/>
        <v>3999715.49</v>
      </c>
      <c r="S834" s="238">
        <f t="shared" si="992"/>
        <v>0</v>
      </c>
      <c r="T834" s="238">
        <f t="shared" si="992"/>
        <v>0</v>
      </c>
      <c r="U834" s="238">
        <f t="shared" si="992"/>
        <v>0</v>
      </c>
      <c r="V834" s="238">
        <f t="shared" si="993"/>
        <v>3920905</v>
      </c>
      <c r="W834" s="238">
        <f t="shared" si="991"/>
        <v>3960114.35</v>
      </c>
      <c r="X834" s="238">
        <f t="shared" si="991"/>
        <v>3999715.49</v>
      </c>
    </row>
    <row r="835" spans="1:24" s="229" customFormat="1" ht="38.25" hidden="1">
      <c r="A835" s="239" t="s">
        <v>96</v>
      </c>
      <c r="B835" s="236" t="s">
        <v>402</v>
      </c>
      <c r="C835" s="236" t="s">
        <v>20</v>
      </c>
      <c r="D835" s="236" t="s">
        <v>17</v>
      </c>
      <c r="E835" s="236" t="s">
        <v>82</v>
      </c>
      <c r="F835" s="236" t="s">
        <v>70</v>
      </c>
      <c r="G835" s="227" t="s">
        <v>148</v>
      </c>
      <c r="H835" s="227" t="s">
        <v>210</v>
      </c>
      <c r="I835" s="237" t="s">
        <v>92</v>
      </c>
      <c r="J835" s="238"/>
      <c r="K835" s="238"/>
      <c r="L835" s="238"/>
      <c r="M835" s="238"/>
      <c r="N835" s="238"/>
      <c r="O835" s="238"/>
      <c r="P835" s="238">
        <f>P836</f>
        <v>3920905</v>
      </c>
      <c r="Q835" s="238">
        <f t="shared" si="992"/>
        <v>3960114.35</v>
      </c>
      <c r="R835" s="238">
        <f t="shared" si="992"/>
        <v>3999715.49</v>
      </c>
      <c r="S835" s="238">
        <f t="shared" si="992"/>
        <v>0</v>
      </c>
      <c r="T835" s="238">
        <f t="shared" si="992"/>
        <v>0</v>
      </c>
      <c r="U835" s="238">
        <f t="shared" si="992"/>
        <v>0</v>
      </c>
      <c r="V835" s="238">
        <f t="shared" si="993"/>
        <v>3920905</v>
      </c>
      <c r="W835" s="238">
        <f t="shared" si="991"/>
        <v>3960114.35</v>
      </c>
      <c r="X835" s="238">
        <f t="shared" si="991"/>
        <v>3999715.49</v>
      </c>
    </row>
    <row r="836" spans="1:24" s="229" customFormat="1" hidden="1">
      <c r="A836" s="239" t="s">
        <v>103</v>
      </c>
      <c r="B836" s="236" t="s">
        <v>402</v>
      </c>
      <c r="C836" s="236" t="s">
        <v>20</v>
      </c>
      <c r="D836" s="236" t="s">
        <v>17</v>
      </c>
      <c r="E836" s="236" t="s">
        <v>82</v>
      </c>
      <c r="F836" s="236" t="s">
        <v>70</v>
      </c>
      <c r="G836" s="227" t="s">
        <v>148</v>
      </c>
      <c r="H836" s="227" t="s">
        <v>210</v>
      </c>
      <c r="I836" s="237" t="s">
        <v>102</v>
      </c>
      <c r="J836" s="238"/>
      <c r="K836" s="238"/>
      <c r="L836" s="238"/>
      <c r="M836" s="238"/>
      <c r="N836" s="238"/>
      <c r="O836" s="238"/>
      <c r="P836" s="238">
        <v>3920905</v>
      </c>
      <c r="Q836" s="238">
        <v>3960114.35</v>
      </c>
      <c r="R836" s="238">
        <v>3999715.49</v>
      </c>
      <c r="S836" s="238"/>
      <c r="T836" s="238"/>
      <c r="U836" s="238"/>
      <c r="V836" s="238">
        <f t="shared" si="993"/>
        <v>3920905</v>
      </c>
      <c r="W836" s="238">
        <f t="shared" si="991"/>
        <v>3960114.35</v>
      </c>
      <c r="X836" s="238">
        <f t="shared" si="991"/>
        <v>3999715.49</v>
      </c>
    </row>
    <row r="837" spans="1:24" s="229" customFormat="1" ht="38.25" hidden="1">
      <c r="A837" s="230" t="s">
        <v>0</v>
      </c>
      <c r="B837" s="231" t="s">
        <v>402</v>
      </c>
      <c r="C837" s="231" t="s">
        <v>20</v>
      </c>
      <c r="D837" s="231" t="s">
        <v>16</v>
      </c>
      <c r="E837" s="231"/>
      <c r="F837" s="231"/>
      <c r="G837" s="231"/>
      <c r="H837" s="227"/>
      <c r="I837" s="237"/>
      <c r="J837" s="234"/>
      <c r="K837" s="234"/>
      <c r="L837" s="234"/>
      <c r="M837" s="234"/>
      <c r="N837" s="234"/>
      <c r="O837" s="234"/>
      <c r="P837" s="234">
        <f>P838+P842</f>
        <v>59305729.710000001</v>
      </c>
      <c r="Q837" s="234">
        <f t="shared" ref="Q837:U837" si="994">Q838+Q842</f>
        <v>59992777.25</v>
      </c>
      <c r="R837" s="234">
        <f t="shared" si="994"/>
        <v>60152519.920000002</v>
      </c>
      <c r="S837" s="234">
        <f t="shared" si="994"/>
        <v>0</v>
      </c>
      <c r="T837" s="234">
        <f t="shared" si="994"/>
        <v>0</v>
      </c>
      <c r="U837" s="234">
        <f t="shared" si="994"/>
        <v>0</v>
      </c>
      <c r="V837" s="234">
        <f t="shared" si="993"/>
        <v>59305729.710000001</v>
      </c>
      <c r="W837" s="234">
        <f t="shared" si="991"/>
        <v>59992777.25</v>
      </c>
      <c r="X837" s="234">
        <f t="shared" si="991"/>
        <v>60152519.920000002</v>
      </c>
    </row>
    <row r="838" spans="1:24" s="229" customFormat="1" ht="38.25" hidden="1">
      <c r="A838" s="235" t="s">
        <v>288</v>
      </c>
      <c r="B838" s="227" t="s">
        <v>402</v>
      </c>
      <c r="C838" s="227" t="s">
        <v>20</v>
      </c>
      <c r="D838" s="227" t="s">
        <v>16</v>
      </c>
      <c r="E838" s="227" t="s">
        <v>13</v>
      </c>
      <c r="F838" s="227" t="s">
        <v>70</v>
      </c>
      <c r="G838" s="227" t="s">
        <v>148</v>
      </c>
      <c r="H838" s="227" t="s">
        <v>149</v>
      </c>
      <c r="I838" s="237"/>
      <c r="J838" s="238"/>
      <c r="K838" s="238"/>
      <c r="L838" s="238"/>
      <c r="M838" s="238"/>
      <c r="N838" s="238"/>
      <c r="O838" s="238"/>
      <c r="P838" s="238">
        <f>P839</f>
        <v>35000</v>
      </c>
      <c r="Q838" s="238">
        <f t="shared" ref="Q838:U840" si="995">Q839</f>
        <v>35000</v>
      </c>
      <c r="R838" s="238">
        <f t="shared" si="995"/>
        <v>35000</v>
      </c>
      <c r="S838" s="238">
        <f t="shared" si="995"/>
        <v>0</v>
      </c>
      <c r="T838" s="238">
        <f t="shared" si="995"/>
        <v>0</v>
      </c>
      <c r="U838" s="238">
        <f t="shared" si="995"/>
        <v>0</v>
      </c>
      <c r="V838" s="238">
        <f t="shared" si="993"/>
        <v>35000</v>
      </c>
      <c r="W838" s="238">
        <f t="shared" si="991"/>
        <v>35000</v>
      </c>
      <c r="X838" s="238">
        <f t="shared" si="991"/>
        <v>35000</v>
      </c>
    </row>
    <row r="839" spans="1:24" s="229" customFormat="1" ht="25.5" hidden="1">
      <c r="A839" s="235" t="s">
        <v>62</v>
      </c>
      <c r="B839" s="227" t="s">
        <v>402</v>
      </c>
      <c r="C839" s="227" t="s">
        <v>20</v>
      </c>
      <c r="D839" s="227" t="s">
        <v>16</v>
      </c>
      <c r="E839" s="227" t="s">
        <v>13</v>
      </c>
      <c r="F839" s="227" t="s">
        <v>70</v>
      </c>
      <c r="G839" s="227" t="s">
        <v>148</v>
      </c>
      <c r="H839" s="227" t="s">
        <v>173</v>
      </c>
      <c r="I839" s="237"/>
      <c r="J839" s="238"/>
      <c r="K839" s="238"/>
      <c r="L839" s="238"/>
      <c r="M839" s="238"/>
      <c r="N839" s="238"/>
      <c r="O839" s="238"/>
      <c r="P839" s="238">
        <f>P840</f>
        <v>35000</v>
      </c>
      <c r="Q839" s="238">
        <f t="shared" si="995"/>
        <v>35000</v>
      </c>
      <c r="R839" s="238">
        <f t="shared" si="995"/>
        <v>35000</v>
      </c>
      <c r="S839" s="238">
        <f t="shared" si="995"/>
        <v>0</v>
      </c>
      <c r="T839" s="238">
        <f t="shared" si="995"/>
        <v>0</v>
      </c>
      <c r="U839" s="238">
        <f t="shared" si="995"/>
        <v>0</v>
      </c>
      <c r="V839" s="238">
        <f t="shared" si="993"/>
        <v>35000</v>
      </c>
      <c r="W839" s="238">
        <f t="shared" si="991"/>
        <v>35000</v>
      </c>
      <c r="X839" s="238">
        <f t="shared" si="991"/>
        <v>35000</v>
      </c>
    </row>
    <row r="840" spans="1:24" s="229" customFormat="1" ht="25.5" hidden="1">
      <c r="A840" s="240" t="s">
        <v>260</v>
      </c>
      <c r="B840" s="227" t="s">
        <v>402</v>
      </c>
      <c r="C840" s="227" t="s">
        <v>20</v>
      </c>
      <c r="D840" s="227" t="s">
        <v>16</v>
      </c>
      <c r="E840" s="227" t="s">
        <v>13</v>
      </c>
      <c r="F840" s="227" t="s">
        <v>70</v>
      </c>
      <c r="G840" s="227" t="s">
        <v>148</v>
      </c>
      <c r="H840" s="227" t="s">
        <v>173</v>
      </c>
      <c r="I840" s="237" t="s">
        <v>94</v>
      </c>
      <c r="J840" s="238"/>
      <c r="K840" s="238"/>
      <c r="L840" s="238"/>
      <c r="M840" s="238"/>
      <c r="N840" s="238"/>
      <c r="O840" s="238"/>
      <c r="P840" s="238">
        <f>P841</f>
        <v>35000</v>
      </c>
      <c r="Q840" s="238">
        <f t="shared" si="995"/>
        <v>35000</v>
      </c>
      <c r="R840" s="238">
        <f t="shared" si="995"/>
        <v>35000</v>
      </c>
      <c r="S840" s="238">
        <f t="shared" si="995"/>
        <v>0</v>
      </c>
      <c r="T840" s="238">
        <f t="shared" si="995"/>
        <v>0</v>
      </c>
      <c r="U840" s="238">
        <f t="shared" si="995"/>
        <v>0</v>
      </c>
      <c r="V840" s="238">
        <f t="shared" si="993"/>
        <v>35000</v>
      </c>
      <c r="W840" s="238">
        <f t="shared" si="991"/>
        <v>35000</v>
      </c>
      <c r="X840" s="238">
        <f t="shared" si="991"/>
        <v>35000</v>
      </c>
    </row>
    <row r="841" spans="1:24" s="229" customFormat="1" ht="25.5" hidden="1">
      <c r="A841" s="239" t="s">
        <v>98</v>
      </c>
      <c r="B841" s="227" t="s">
        <v>402</v>
      </c>
      <c r="C841" s="227" t="s">
        <v>20</v>
      </c>
      <c r="D841" s="227" t="s">
        <v>16</v>
      </c>
      <c r="E841" s="227" t="s">
        <v>13</v>
      </c>
      <c r="F841" s="227" t="s">
        <v>70</v>
      </c>
      <c r="G841" s="227" t="s">
        <v>148</v>
      </c>
      <c r="H841" s="227" t="s">
        <v>173</v>
      </c>
      <c r="I841" s="237" t="s">
        <v>95</v>
      </c>
      <c r="J841" s="238"/>
      <c r="K841" s="238"/>
      <c r="L841" s="238"/>
      <c r="M841" s="238"/>
      <c r="N841" s="238"/>
      <c r="O841" s="238"/>
      <c r="P841" s="238">
        <v>35000</v>
      </c>
      <c r="Q841" s="238">
        <v>35000</v>
      </c>
      <c r="R841" s="238">
        <v>35000</v>
      </c>
      <c r="S841" s="238"/>
      <c r="T841" s="238"/>
      <c r="U841" s="238"/>
      <c r="V841" s="238">
        <f t="shared" si="993"/>
        <v>35000</v>
      </c>
      <c r="W841" s="238">
        <f t="shared" si="991"/>
        <v>35000</v>
      </c>
      <c r="X841" s="238">
        <f t="shared" si="991"/>
        <v>35000</v>
      </c>
    </row>
    <row r="842" spans="1:24" s="229" customFormat="1" hidden="1">
      <c r="A842" s="235" t="s">
        <v>83</v>
      </c>
      <c r="B842" s="227" t="s">
        <v>402</v>
      </c>
      <c r="C842" s="227" t="s">
        <v>20</v>
      </c>
      <c r="D842" s="227" t="s">
        <v>16</v>
      </c>
      <c r="E842" s="227" t="s">
        <v>82</v>
      </c>
      <c r="F842" s="227" t="s">
        <v>70</v>
      </c>
      <c r="G842" s="227" t="s">
        <v>148</v>
      </c>
      <c r="H842" s="227" t="s">
        <v>149</v>
      </c>
      <c r="I842" s="237"/>
      <c r="J842" s="238"/>
      <c r="K842" s="238"/>
      <c r="L842" s="238"/>
      <c r="M842" s="238"/>
      <c r="N842" s="238"/>
      <c r="O842" s="238"/>
      <c r="P842" s="238">
        <f>P843+P850+P853+P858+P863</f>
        <v>59270729.710000001</v>
      </c>
      <c r="Q842" s="238">
        <f t="shared" ref="Q842:U842" si="996">Q843+Q850+Q853+Q858+Q863</f>
        <v>59957777.25</v>
      </c>
      <c r="R842" s="238">
        <f t="shared" si="996"/>
        <v>60117519.920000002</v>
      </c>
      <c r="S842" s="238">
        <f t="shared" si="996"/>
        <v>0</v>
      </c>
      <c r="T842" s="238">
        <f t="shared" si="996"/>
        <v>0</v>
      </c>
      <c r="U842" s="238">
        <f t="shared" si="996"/>
        <v>0</v>
      </c>
      <c r="V842" s="238">
        <f t="shared" si="993"/>
        <v>59270729.710000001</v>
      </c>
      <c r="W842" s="238">
        <f t="shared" si="991"/>
        <v>59957777.25</v>
      </c>
      <c r="X842" s="238">
        <f t="shared" si="991"/>
        <v>60117519.920000002</v>
      </c>
    </row>
    <row r="843" spans="1:24" s="229" customFormat="1" ht="25.5" hidden="1">
      <c r="A843" s="235" t="s">
        <v>87</v>
      </c>
      <c r="B843" s="227" t="s">
        <v>402</v>
      </c>
      <c r="C843" s="227" t="s">
        <v>20</v>
      </c>
      <c r="D843" s="227" t="s">
        <v>16</v>
      </c>
      <c r="E843" s="227" t="s">
        <v>82</v>
      </c>
      <c r="F843" s="227" t="s">
        <v>70</v>
      </c>
      <c r="G843" s="227" t="s">
        <v>148</v>
      </c>
      <c r="H843" s="227" t="s">
        <v>158</v>
      </c>
      <c r="I843" s="237"/>
      <c r="J843" s="238"/>
      <c r="K843" s="238"/>
      <c r="L843" s="238"/>
      <c r="M843" s="238"/>
      <c r="N843" s="238"/>
      <c r="O843" s="238"/>
      <c r="P843" s="238">
        <f>P844+P846+P848</f>
        <v>55015054</v>
      </c>
      <c r="Q843" s="238">
        <f t="shared" ref="Q843:U843" si="997">Q844+Q846+Q848</f>
        <v>55521605.289999999</v>
      </c>
      <c r="R843" s="238">
        <f t="shared" si="997"/>
        <v>55533221.350000001</v>
      </c>
      <c r="S843" s="238">
        <f t="shared" si="997"/>
        <v>0</v>
      </c>
      <c r="T843" s="238">
        <f t="shared" si="997"/>
        <v>0</v>
      </c>
      <c r="U843" s="238">
        <f t="shared" si="997"/>
        <v>0</v>
      </c>
      <c r="V843" s="238">
        <f t="shared" si="993"/>
        <v>55015054</v>
      </c>
      <c r="W843" s="238">
        <f t="shared" si="991"/>
        <v>55521605.289999999</v>
      </c>
      <c r="X843" s="238">
        <f t="shared" si="991"/>
        <v>55533221.350000001</v>
      </c>
    </row>
    <row r="844" spans="1:24" s="229" customFormat="1" ht="38.25" hidden="1">
      <c r="A844" s="239" t="s">
        <v>96</v>
      </c>
      <c r="B844" s="227" t="s">
        <v>402</v>
      </c>
      <c r="C844" s="227" t="s">
        <v>20</v>
      </c>
      <c r="D844" s="227" t="s">
        <v>16</v>
      </c>
      <c r="E844" s="227" t="s">
        <v>82</v>
      </c>
      <c r="F844" s="227" t="s">
        <v>70</v>
      </c>
      <c r="G844" s="227" t="s">
        <v>148</v>
      </c>
      <c r="H844" s="227" t="s">
        <v>158</v>
      </c>
      <c r="I844" s="237" t="s">
        <v>92</v>
      </c>
      <c r="J844" s="238"/>
      <c r="K844" s="238"/>
      <c r="L844" s="238"/>
      <c r="M844" s="238"/>
      <c r="N844" s="238"/>
      <c r="O844" s="238"/>
      <c r="P844" s="238">
        <f>P845</f>
        <v>51415054</v>
      </c>
      <c r="Q844" s="238">
        <f t="shared" ref="Q844:U844" si="998">Q845</f>
        <v>51921605.289999999</v>
      </c>
      <c r="R844" s="238">
        <f t="shared" si="998"/>
        <v>52303221.350000001</v>
      </c>
      <c r="S844" s="238">
        <f t="shared" si="998"/>
        <v>0</v>
      </c>
      <c r="T844" s="238">
        <f t="shared" si="998"/>
        <v>0</v>
      </c>
      <c r="U844" s="238">
        <f t="shared" si="998"/>
        <v>0</v>
      </c>
      <c r="V844" s="238">
        <f t="shared" si="993"/>
        <v>51415054</v>
      </c>
      <c r="W844" s="238">
        <f t="shared" si="991"/>
        <v>51921605.289999999</v>
      </c>
      <c r="X844" s="238">
        <f t="shared" si="991"/>
        <v>52303221.350000001</v>
      </c>
    </row>
    <row r="845" spans="1:24" s="229" customFormat="1" hidden="1">
      <c r="A845" s="239" t="s">
        <v>103</v>
      </c>
      <c r="B845" s="227" t="s">
        <v>402</v>
      </c>
      <c r="C845" s="227" t="s">
        <v>20</v>
      </c>
      <c r="D845" s="227" t="s">
        <v>16</v>
      </c>
      <c r="E845" s="227" t="s">
        <v>82</v>
      </c>
      <c r="F845" s="227" t="s">
        <v>70</v>
      </c>
      <c r="G845" s="227" t="s">
        <v>148</v>
      </c>
      <c r="H845" s="227" t="s">
        <v>158</v>
      </c>
      <c r="I845" s="237" t="s">
        <v>102</v>
      </c>
      <c r="J845" s="238"/>
      <c r="K845" s="238"/>
      <c r="L845" s="238"/>
      <c r="M845" s="238"/>
      <c r="N845" s="238"/>
      <c r="O845" s="238"/>
      <c r="P845" s="238">
        <f>38905572+760000+11749482</f>
        <v>51415054</v>
      </c>
      <c r="Q845" s="238">
        <f>39294627.72+760000+11866977.57</f>
        <v>51921605.289999999</v>
      </c>
      <c r="R845" s="238">
        <f>39687574+630000+11985647.35</f>
        <v>52303221.350000001</v>
      </c>
      <c r="S845" s="238"/>
      <c r="T845" s="238"/>
      <c r="U845" s="238"/>
      <c r="V845" s="238">
        <f t="shared" si="993"/>
        <v>51415054</v>
      </c>
      <c r="W845" s="238">
        <f t="shared" si="991"/>
        <v>51921605.289999999</v>
      </c>
      <c r="X845" s="238">
        <f t="shared" si="991"/>
        <v>52303221.350000001</v>
      </c>
    </row>
    <row r="846" spans="1:24" s="229" customFormat="1" ht="25.5" hidden="1">
      <c r="A846" s="240" t="s">
        <v>260</v>
      </c>
      <c r="B846" s="227" t="s">
        <v>402</v>
      </c>
      <c r="C846" s="227" t="s">
        <v>20</v>
      </c>
      <c r="D846" s="227" t="s">
        <v>16</v>
      </c>
      <c r="E846" s="227" t="s">
        <v>82</v>
      </c>
      <c r="F846" s="227" t="s">
        <v>70</v>
      </c>
      <c r="G846" s="227" t="s">
        <v>148</v>
      </c>
      <c r="H846" s="227" t="s">
        <v>158</v>
      </c>
      <c r="I846" s="237" t="s">
        <v>94</v>
      </c>
      <c r="J846" s="238"/>
      <c r="K846" s="238"/>
      <c r="L846" s="238"/>
      <c r="M846" s="238"/>
      <c r="N846" s="238"/>
      <c r="O846" s="238"/>
      <c r="P846" s="238">
        <f>P847</f>
        <v>3450000</v>
      </c>
      <c r="Q846" s="238">
        <f t="shared" ref="Q846:U846" si="999">Q847</f>
        <v>3450000</v>
      </c>
      <c r="R846" s="238">
        <f t="shared" si="999"/>
        <v>3080000</v>
      </c>
      <c r="S846" s="238">
        <f t="shared" si="999"/>
        <v>0</v>
      </c>
      <c r="T846" s="238">
        <f t="shared" si="999"/>
        <v>0</v>
      </c>
      <c r="U846" s="238">
        <f t="shared" si="999"/>
        <v>0</v>
      </c>
      <c r="V846" s="238">
        <f t="shared" si="993"/>
        <v>3450000</v>
      </c>
      <c r="W846" s="238">
        <f t="shared" si="991"/>
        <v>3450000</v>
      </c>
      <c r="X846" s="238">
        <f t="shared" si="991"/>
        <v>3080000</v>
      </c>
    </row>
    <row r="847" spans="1:24" s="229" customFormat="1" ht="25.5" hidden="1">
      <c r="A847" s="239" t="s">
        <v>98</v>
      </c>
      <c r="B847" s="227" t="s">
        <v>402</v>
      </c>
      <c r="C847" s="227" t="s">
        <v>20</v>
      </c>
      <c r="D847" s="227" t="s">
        <v>16</v>
      </c>
      <c r="E847" s="227" t="s">
        <v>82</v>
      </c>
      <c r="F847" s="227" t="s">
        <v>70</v>
      </c>
      <c r="G847" s="227" t="s">
        <v>148</v>
      </c>
      <c r="H847" s="227" t="s">
        <v>158</v>
      </c>
      <c r="I847" s="237" t="s">
        <v>95</v>
      </c>
      <c r="J847" s="238"/>
      <c r="K847" s="238"/>
      <c r="L847" s="238"/>
      <c r="M847" s="238"/>
      <c r="N847" s="238"/>
      <c r="O847" s="238"/>
      <c r="P847" s="238">
        <v>3450000</v>
      </c>
      <c r="Q847" s="238">
        <v>3450000</v>
      </c>
      <c r="R847" s="238">
        <v>3080000</v>
      </c>
      <c r="S847" s="238"/>
      <c r="T847" s="238"/>
      <c r="U847" s="238"/>
      <c r="V847" s="238">
        <f t="shared" si="993"/>
        <v>3450000</v>
      </c>
      <c r="W847" s="238">
        <f t="shared" si="993"/>
        <v>3450000</v>
      </c>
      <c r="X847" s="238">
        <f t="shared" si="993"/>
        <v>3080000</v>
      </c>
    </row>
    <row r="848" spans="1:24" s="229" customFormat="1" hidden="1">
      <c r="A848" s="239" t="s">
        <v>80</v>
      </c>
      <c r="B848" s="227" t="s">
        <v>402</v>
      </c>
      <c r="C848" s="227" t="s">
        <v>20</v>
      </c>
      <c r="D848" s="227" t="s">
        <v>16</v>
      </c>
      <c r="E848" s="227" t="s">
        <v>82</v>
      </c>
      <c r="F848" s="227" t="s">
        <v>70</v>
      </c>
      <c r="G848" s="227" t="s">
        <v>148</v>
      </c>
      <c r="H848" s="227" t="s">
        <v>158</v>
      </c>
      <c r="I848" s="237" t="s">
        <v>77</v>
      </c>
      <c r="J848" s="238"/>
      <c r="K848" s="238"/>
      <c r="L848" s="238"/>
      <c r="M848" s="238"/>
      <c r="N848" s="238"/>
      <c r="O848" s="238"/>
      <c r="P848" s="238">
        <f>P849</f>
        <v>150000</v>
      </c>
      <c r="Q848" s="238">
        <f t="shared" ref="Q848:U848" si="1000">Q849</f>
        <v>150000</v>
      </c>
      <c r="R848" s="238">
        <f t="shared" si="1000"/>
        <v>150000</v>
      </c>
      <c r="S848" s="238">
        <f t="shared" si="1000"/>
        <v>0</v>
      </c>
      <c r="T848" s="238">
        <f t="shared" si="1000"/>
        <v>0</v>
      </c>
      <c r="U848" s="238">
        <f t="shared" si="1000"/>
        <v>0</v>
      </c>
      <c r="V848" s="238">
        <f t="shared" ref="V848:X878" si="1001">P848+S848</f>
        <v>150000</v>
      </c>
      <c r="W848" s="238">
        <f t="shared" si="1001"/>
        <v>150000</v>
      </c>
      <c r="X848" s="238">
        <f t="shared" si="1001"/>
        <v>150000</v>
      </c>
    </row>
    <row r="849" spans="1:24" s="229" customFormat="1" hidden="1">
      <c r="A849" s="241" t="s">
        <v>125</v>
      </c>
      <c r="B849" s="227" t="s">
        <v>402</v>
      </c>
      <c r="C849" s="227" t="s">
        <v>20</v>
      </c>
      <c r="D849" s="227" t="s">
        <v>16</v>
      </c>
      <c r="E849" s="227" t="s">
        <v>82</v>
      </c>
      <c r="F849" s="227" t="s">
        <v>70</v>
      </c>
      <c r="G849" s="227" t="s">
        <v>148</v>
      </c>
      <c r="H849" s="227" t="s">
        <v>158</v>
      </c>
      <c r="I849" s="237" t="s">
        <v>124</v>
      </c>
      <c r="J849" s="238"/>
      <c r="K849" s="238"/>
      <c r="L849" s="238"/>
      <c r="M849" s="238"/>
      <c r="N849" s="238"/>
      <c r="O849" s="238"/>
      <c r="P849" s="238">
        <f>70000+70000+10000</f>
        <v>150000</v>
      </c>
      <c r="Q849" s="238">
        <v>150000</v>
      </c>
      <c r="R849" s="238">
        <v>150000</v>
      </c>
      <c r="S849" s="238"/>
      <c r="T849" s="238"/>
      <c r="U849" s="238"/>
      <c r="V849" s="238">
        <f t="shared" si="1001"/>
        <v>150000</v>
      </c>
      <c r="W849" s="238">
        <f t="shared" si="1001"/>
        <v>150000</v>
      </c>
      <c r="X849" s="238">
        <f t="shared" si="1001"/>
        <v>150000</v>
      </c>
    </row>
    <row r="850" spans="1:24" s="229" customFormat="1" hidden="1">
      <c r="A850" s="239" t="s">
        <v>90</v>
      </c>
      <c r="B850" s="227" t="s">
        <v>402</v>
      </c>
      <c r="C850" s="227" t="s">
        <v>20</v>
      </c>
      <c r="D850" s="227" t="s">
        <v>16</v>
      </c>
      <c r="E850" s="227" t="s">
        <v>82</v>
      </c>
      <c r="F850" s="227" t="s">
        <v>70</v>
      </c>
      <c r="G850" s="227" t="s">
        <v>148</v>
      </c>
      <c r="H850" s="227" t="s">
        <v>174</v>
      </c>
      <c r="I850" s="237"/>
      <c r="J850" s="238"/>
      <c r="K850" s="238"/>
      <c r="L850" s="238"/>
      <c r="M850" s="238"/>
      <c r="N850" s="238"/>
      <c r="O850" s="238"/>
      <c r="P850" s="238">
        <f>P851</f>
        <v>300000</v>
      </c>
      <c r="Q850" s="238">
        <f t="shared" ref="Q850:U851" si="1002">Q851</f>
        <v>300000</v>
      </c>
      <c r="R850" s="238">
        <f t="shared" si="1002"/>
        <v>300000</v>
      </c>
      <c r="S850" s="238">
        <f t="shared" si="1002"/>
        <v>0</v>
      </c>
      <c r="T850" s="238">
        <f t="shared" si="1002"/>
        <v>0</v>
      </c>
      <c r="U850" s="238">
        <f t="shared" si="1002"/>
        <v>0</v>
      </c>
      <c r="V850" s="238">
        <f t="shared" si="1001"/>
        <v>300000</v>
      </c>
      <c r="W850" s="238">
        <f t="shared" si="1001"/>
        <v>300000</v>
      </c>
      <c r="X850" s="238">
        <f t="shared" si="1001"/>
        <v>300000</v>
      </c>
    </row>
    <row r="851" spans="1:24" s="229" customFormat="1" ht="25.5" hidden="1">
      <c r="A851" s="240" t="s">
        <v>260</v>
      </c>
      <c r="B851" s="227" t="s">
        <v>402</v>
      </c>
      <c r="C851" s="227" t="s">
        <v>20</v>
      </c>
      <c r="D851" s="227" t="s">
        <v>16</v>
      </c>
      <c r="E851" s="227" t="s">
        <v>82</v>
      </c>
      <c r="F851" s="227" t="s">
        <v>70</v>
      </c>
      <c r="G851" s="227" t="s">
        <v>148</v>
      </c>
      <c r="H851" s="227" t="s">
        <v>174</v>
      </c>
      <c r="I851" s="237" t="s">
        <v>94</v>
      </c>
      <c r="J851" s="238"/>
      <c r="K851" s="238"/>
      <c r="L851" s="238"/>
      <c r="M851" s="238"/>
      <c r="N851" s="238"/>
      <c r="O851" s="238"/>
      <c r="P851" s="238">
        <f>P852</f>
        <v>300000</v>
      </c>
      <c r="Q851" s="238">
        <f t="shared" si="1002"/>
        <v>300000</v>
      </c>
      <c r="R851" s="238">
        <f t="shared" si="1002"/>
        <v>300000</v>
      </c>
      <c r="S851" s="238">
        <f t="shared" si="1002"/>
        <v>0</v>
      </c>
      <c r="T851" s="238">
        <f t="shared" si="1002"/>
        <v>0</v>
      </c>
      <c r="U851" s="238">
        <f t="shared" si="1002"/>
        <v>0</v>
      </c>
      <c r="V851" s="238">
        <f t="shared" si="1001"/>
        <v>300000</v>
      </c>
      <c r="W851" s="238">
        <f t="shared" si="1001"/>
        <v>300000</v>
      </c>
      <c r="X851" s="238">
        <f t="shared" si="1001"/>
        <v>300000</v>
      </c>
    </row>
    <row r="852" spans="1:24" s="229" customFormat="1" ht="25.5" hidden="1">
      <c r="A852" s="239" t="s">
        <v>98</v>
      </c>
      <c r="B852" s="227" t="s">
        <v>402</v>
      </c>
      <c r="C852" s="227" t="s">
        <v>20</v>
      </c>
      <c r="D852" s="227" t="s">
        <v>16</v>
      </c>
      <c r="E852" s="227" t="s">
        <v>82</v>
      </c>
      <c r="F852" s="227" t="s">
        <v>70</v>
      </c>
      <c r="G852" s="227" t="s">
        <v>148</v>
      </c>
      <c r="H852" s="227" t="s">
        <v>174</v>
      </c>
      <c r="I852" s="237" t="s">
        <v>95</v>
      </c>
      <c r="J852" s="238"/>
      <c r="K852" s="238"/>
      <c r="L852" s="238"/>
      <c r="M852" s="238"/>
      <c r="N852" s="238"/>
      <c r="O852" s="238"/>
      <c r="P852" s="238">
        <v>300000</v>
      </c>
      <c r="Q852" s="238">
        <v>300000</v>
      </c>
      <c r="R852" s="238">
        <v>300000</v>
      </c>
      <c r="S852" s="238"/>
      <c r="T852" s="238"/>
      <c r="U852" s="238"/>
      <c r="V852" s="238">
        <f t="shared" si="1001"/>
        <v>300000</v>
      </c>
      <c r="W852" s="238">
        <f t="shared" si="1001"/>
        <v>300000</v>
      </c>
      <c r="X852" s="238">
        <f t="shared" si="1001"/>
        <v>300000</v>
      </c>
    </row>
    <row r="853" spans="1:24" s="229" customFormat="1" hidden="1">
      <c r="A853" s="235" t="s">
        <v>76</v>
      </c>
      <c r="B853" s="227" t="s">
        <v>402</v>
      </c>
      <c r="C853" s="227" t="s">
        <v>20</v>
      </c>
      <c r="D853" s="227" t="s">
        <v>16</v>
      </c>
      <c r="E853" s="227" t="s">
        <v>82</v>
      </c>
      <c r="F853" s="227" t="s">
        <v>70</v>
      </c>
      <c r="G853" s="227" t="s">
        <v>148</v>
      </c>
      <c r="H853" s="227" t="s">
        <v>176</v>
      </c>
      <c r="I853" s="237"/>
      <c r="J853" s="238"/>
      <c r="K853" s="238"/>
      <c r="L853" s="238"/>
      <c r="M853" s="238"/>
      <c r="N853" s="238"/>
      <c r="O853" s="238"/>
      <c r="P853" s="238">
        <f>P854+P856</f>
        <v>550096.53</v>
      </c>
      <c r="Q853" s="238">
        <f t="shared" ref="Q853:U853" si="1003">Q854+Q856</f>
        <v>575881.71</v>
      </c>
      <c r="R853" s="238">
        <f t="shared" si="1003"/>
        <v>597042.65</v>
      </c>
      <c r="S853" s="238">
        <f t="shared" si="1003"/>
        <v>0</v>
      </c>
      <c r="T853" s="238">
        <f t="shared" si="1003"/>
        <v>0</v>
      </c>
      <c r="U853" s="238">
        <f t="shared" si="1003"/>
        <v>0</v>
      </c>
      <c r="V853" s="238">
        <f t="shared" si="1001"/>
        <v>550096.53</v>
      </c>
      <c r="W853" s="238">
        <f t="shared" si="1001"/>
        <v>575881.71</v>
      </c>
      <c r="X853" s="238">
        <f t="shared" si="1001"/>
        <v>597042.65</v>
      </c>
    </row>
    <row r="854" spans="1:24" s="229" customFormat="1" ht="38.25" hidden="1">
      <c r="A854" s="239" t="s">
        <v>96</v>
      </c>
      <c r="B854" s="227" t="s">
        <v>402</v>
      </c>
      <c r="C854" s="227" t="s">
        <v>20</v>
      </c>
      <c r="D854" s="227" t="s">
        <v>16</v>
      </c>
      <c r="E854" s="227" t="s">
        <v>82</v>
      </c>
      <c r="F854" s="227" t="s">
        <v>70</v>
      </c>
      <c r="G854" s="227" t="s">
        <v>148</v>
      </c>
      <c r="H854" s="227" t="s">
        <v>176</v>
      </c>
      <c r="I854" s="237" t="s">
        <v>92</v>
      </c>
      <c r="J854" s="238"/>
      <c r="K854" s="238"/>
      <c r="L854" s="238"/>
      <c r="M854" s="238"/>
      <c r="N854" s="238"/>
      <c r="O854" s="238"/>
      <c r="P854" s="238">
        <f>P855</f>
        <v>515096.52999999997</v>
      </c>
      <c r="Q854" s="238">
        <f t="shared" ref="Q854:U854" si="1004">Q855</f>
        <v>540881.71</v>
      </c>
      <c r="R854" s="238">
        <f t="shared" si="1004"/>
        <v>562042.65</v>
      </c>
      <c r="S854" s="238">
        <f t="shared" si="1004"/>
        <v>0</v>
      </c>
      <c r="T854" s="238">
        <f t="shared" si="1004"/>
        <v>0</v>
      </c>
      <c r="U854" s="238">
        <f t="shared" si="1004"/>
        <v>0</v>
      </c>
      <c r="V854" s="238">
        <f t="shared" si="1001"/>
        <v>515096.52999999997</v>
      </c>
      <c r="W854" s="238">
        <f t="shared" si="1001"/>
        <v>540881.71</v>
      </c>
      <c r="X854" s="238">
        <f t="shared" si="1001"/>
        <v>562042.65</v>
      </c>
    </row>
    <row r="855" spans="1:24" s="229" customFormat="1" hidden="1">
      <c r="A855" s="239" t="s">
        <v>103</v>
      </c>
      <c r="B855" s="227" t="s">
        <v>402</v>
      </c>
      <c r="C855" s="227" t="s">
        <v>20</v>
      </c>
      <c r="D855" s="227" t="s">
        <v>16</v>
      </c>
      <c r="E855" s="227" t="s">
        <v>82</v>
      </c>
      <c r="F855" s="227" t="s">
        <v>70</v>
      </c>
      <c r="G855" s="227" t="s">
        <v>148</v>
      </c>
      <c r="H855" s="227" t="s">
        <v>176</v>
      </c>
      <c r="I855" s="237" t="s">
        <v>102</v>
      </c>
      <c r="J855" s="238"/>
      <c r="K855" s="238"/>
      <c r="L855" s="238"/>
      <c r="M855" s="238"/>
      <c r="N855" s="238"/>
      <c r="O855" s="238"/>
      <c r="P855" s="238">
        <v>515096.52999999997</v>
      </c>
      <c r="Q855" s="238">
        <v>540881.71</v>
      </c>
      <c r="R855" s="238">
        <v>562042.65</v>
      </c>
      <c r="S855" s="238"/>
      <c r="T855" s="238"/>
      <c r="U855" s="238"/>
      <c r="V855" s="238">
        <f t="shared" si="1001"/>
        <v>515096.52999999997</v>
      </c>
      <c r="W855" s="238">
        <f t="shared" si="1001"/>
        <v>540881.71</v>
      </c>
      <c r="X855" s="238">
        <f t="shared" si="1001"/>
        <v>562042.65</v>
      </c>
    </row>
    <row r="856" spans="1:24" s="229" customFormat="1" ht="25.5" hidden="1">
      <c r="A856" s="240" t="s">
        <v>260</v>
      </c>
      <c r="B856" s="227" t="s">
        <v>402</v>
      </c>
      <c r="C856" s="227" t="s">
        <v>20</v>
      </c>
      <c r="D856" s="227" t="s">
        <v>16</v>
      </c>
      <c r="E856" s="227" t="s">
        <v>82</v>
      </c>
      <c r="F856" s="227" t="s">
        <v>70</v>
      </c>
      <c r="G856" s="227" t="s">
        <v>148</v>
      </c>
      <c r="H856" s="227" t="s">
        <v>176</v>
      </c>
      <c r="I856" s="237" t="s">
        <v>94</v>
      </c>
      <c r="J856" s="238"/>
      <c r="K856" s="238"/>
      <c r="L856" s="238"/>
      <c r="M856" s="238"/>
      <c r="N856" s="238"/>
      <c r="O856" s="238"/>
      <c r="P856" s="238">
        <f>P857</f>
        <v>35000</v>
      </c>
      <c r="Q856" s="238">
        <f t="shared" ref="Q856:U856" si="1005">Q857</f>
        <v>35000</v>
      </c>
      <c r="R856" s="238">
        <f t="shared" si="1005"/>
        <v>35000</v>
      </c>
      <c r="S856" s="238">
        <f t="shared" si="1005"/>
        <v>0</v>
      </c>
      <c r="T856" s="238">
        <f t="shared" si="1005"/>
        <v>0</v>
      </c>
      <c r="U856" s="238">
        <f t="shared" si="1005"/>
        <v>0</v>
      </c>
      <c r="V856" s="238">
        <f t="shared" si="1001"/>
        <v>35000</v>
      </c>
      <c r="W856" s="238">
        <f t="shared" si="1001"/>
        <v>35000</v>
      </c>
      <c r="X856" s="238">
        <f t="shared" si="1001"/>
        <v>35000</v>
      </c>
    </row>
    <row r="857" spans="1:24" s="229" customFormat="1" ht="25.5" hidden="1">
      <c r="A857" s="239" t="s">
        <v>98</v>
      </c>
      <c r="B857" s="227" t="s">
        <v>402</v>
      </c>
      <c r="C857" s="227" t="s">
        <v>20</v>
      </c>
      <c r="D857" s="227" t="s">
        <v>16</v>
      </c>
      <c r="E857" s="227" t="s">
        <v>82</v>
      </c>
      <c r="F857" s="227" t="s">
        <v>70</v>
      </c>
      <c r="G857" s="227" t="s">
        <v>148</v>
      </c>
      <c r="H857" s="227" t="s">
        <v>176</v>
      </c>
      <c r="I857" s="237" t="s">
        <v>95</v>
      </c>
      <c r="J857" s="238"/>
      <c r="K857" s="238"/>
      <c r="L857" s="238"/>
      <c r="M857" s="238"/>
      <c r="N857" s="238"/>
      <c r="O857" s="238"/>
      <c r="P857" s="238">
        <v>35000</v>
      </c>
      <c r="Q857" s="238">
        <v>35000</v>
      </c>
      <c r="R857" s="238">
        <v>35000</v>
      </c>
      <c r="S857" s="238"/>
      <c r="T857" s="238"/>
      <c r="U857" s="238"/>
      <c r="V857" s="238">
        <f t="shared" si="1001"/>
        <v>35000</v>
      </c>
      <c r="W857" s="238">
        <f t="shared" si="1001"/>
        <v>35000</v>
      </c>
      <c r="X857" s="238">
        <f t="shared" si="1001"/>
        <v>35000</v>
      </c>
    </row>
    <row r="858" spans="1:24" s="229" customFormat="1" ht="51" hidden="1">
      <c r="A858" s="235" t="s">
        <v>231</v>
      </c>
      <c r="B858" s="227" t="s">
        <v>402</v>
      </c>
      <c r="C858" s="227" t="s">
        <v>20</v>
      </c>
      <c r="D858" s="227" t="s">
        <v>16</v>
      </c>
      <c r="E858" s="227" t="s">
        <v>82</v>
      </c>
      <c r="F858" s="227" t="s">
        <v>70</v>
      </c>
      <c r="G858" s="227" t="s">
        <v>148</v>
      </c>
      <c r="H858" s="227" t="s">
        <v>218</v>
      </c>
      <c r="I858" s="237"/>
      <c r="J858" s="238"/>
      <c r="K858" s="238"/>
      <c r="L858" s="238"/>
      <c r="M858" s="238"/>
      <c r="N858" s="238"/>
      <c r="O858" s="238"/>
      <c r="P858" s="238">
        <f>P859+P861</f>
        <v>2200386.12</v>
      </c>
      <c r="Q858" s="238">
        <f t="shared" ref="Q858:U858" si="1006">Q859+Q861</f>
        <v>2303526.83</v>
      </c>
      <c r="R858" s="238">
        <f t="shared" si="1006"/>
        <v>2388170.61</v>
      </c>
      <c r="S858" s="238">
        <f t="shared" si="1006"/>
        <v>0</v>
      </c>
      <c r="T858" s="238">
        <f t="shared" si="1006"/>
        <v>0</v>
      </c>
      <c r="U858" s="238">
        <f t="shared" si="1006"/>
        <v>0</v>
      </c>
      <c r="V858" s="238">
        <f t="shared" si="1001"/>
        <v>2200386.12</v>
      </c>
      <c r="W858" s="238">
        <f t="shared" si="1001"/>
        <v>2303526.83</v>
      </c>
      <c r="X858" s="238">
        <f t="shared" si="1001"/>
        <v>2388170.61</v>
      </c>
    </row>
    <row r="859" spans="1:24" s="229" customFormat="1" ht="38.25" hidden="1">
      <c r="A859" s="239" t="s">
        <v>96</v>
      </c>
      <c r="B859" s="227" t="s">
        <v>402</v>
      </c>
      <c r="C859" s="227" t="s">
        <v>20</v>
      </c>
      <c r="D859" s="227" t="s">
        <v>16</v>
      </c>
      <c r="E859" s="227" t="s">
        <v>82</v>
      </c>
      <c r="F859" s="227" t="s">
        <v>70</v>
      </c>
      <c r="G859" s="227" t="s">
        <v>148</v>
      </c>
      <c r="H859" s="227" t="s">
        <v>218</v>
      </c>
      <c r="I859" s="237" t="s">
        <v>92</v>
      </c>
      <c r="J859" s="238"/>
      <c r="K859" s="238"/>
      <c r="L859" s="238"/>
      <c r="M859" s="238"/>
      <c r="N859" s="238"/>
      <c r="O859" s="238"/>
      <c r="P859" s="238">
        <f>P860</f>
        <v>2060386.1199999999</v>
      </c>
      <c r="Q859" s="238">
        <f t="shared" ref="Q859:U859" si="1007">Q860</f>
        <v>2163526.83</v>
      </c>
      <c r="R859" s="238">
        <f t="shared" si="1007"/>
        <v>2248170.61</v>
      </c>
      <c r="S859" s="238">
        <f t="shared" si="1007"/>
        <v>0</v>
      </c>
      <c r="T859" s="238">
        <f t="shared" si="1007"/>
        <v>0</v>
      </c>
      <c r="U859" s="238">
        <f t="shared" si="1007"/>
        <v>0</v>
      </c>
      <c r="V859" s="238">
        <f t="shared" si="1001"/>
        <v>2060386.1199999999</v>
      </c>
      <c r="W859" s="238">
        <f t="shared" si="1001"/>
        <v>2163526.83</v>
      </c>
      <c r="X859" s="238">
        <f t="shared" si="1001"/>
        <v>2248170.61</v>
      </c>
    </row>
    <row r="860" spans="1:24" s="229" customFormat="1" hidden="1">
      <c r="A860" s="239" t="s">
        <v>103</v>
      </c>
      <c r="B860" s="227" t="s">
        <v>402</v>
      </c>
      <c r="C860" s="227" t="s">
        <v>20</v>
      </c>
      <c r="D860" s="227" t="s">
        <v>16</v>
      </c>
      <c r="E860" s="227" t="s">
        <v>82</v>
      </c>
      <c r="F860" s="227" t="s">
        <v>70</v>
      </c>
      <c r="G860" s="227" t="s">
        <v>148</v>
      </c>
      <c r="H860" s="227" t="s">
        <v>218</v>
      </c>
      <c r="I860" s="237" t="s">
        <v>102</v>
      </c>
      <c r="J860" s="238"/>
      <c r="K860" s="238"/>
      <c r="L860" s="238"/>
      <c r="M860" s="238"/>
      <c r="N860" s="238"/>
      <c r="O860" s="238"/>
      <c r="P860" s="238">
        <v>2060386.1199999999</v>
      </c>
      <c r="Q860" s="238">
        <v>2163526.83</v>
      </c>
      <c r="R860" s="238">
        <v>2248170.61</v>
      </c>
      <c r="S860" s="238"/>
      <c r="T860" s="238"/>
      <c r="U860" s="238"/>
      <c r="V860" s="238">
        <f t="shared" si="1001"/>
        <v>2060386.1199999999</v>
      </c>
      <c r="W860" s="238">
        <f t="shared" si="1001"/>
        <v>2163526.83</v>
      </c>
      <c r="X860" s="238">
        <f t="shared" si="1001"/>
        <v>2248170.61</v>
      </c>
    </row>
    <row r="861" spans="1:24" s="229" customFormat="1" ht="25.5" hidden="1">
      <c r="A861" s="240" t="s">
        <v>260</v>
      </c>
      <c r="B861" s="227" t="s">
        <v>402</v>
      </c>
      <c r="C861" s="227" t="s">
        <v>20</v>
      </c>
      <c r="D861" s="227" t="s">
        <v>16</v>
      </c>
      <c r="E861" s="227" t="s">
        <v>82</v>
      </c>
      <c r="F861" s="227" t="s">
        <v>70</v>
      </c>
      <c r="G861" s="227" t="s">
        <v>148</v>
      </c>
      <c r="H861" s="227" t="s">
        <v>218</v>
      </c>
      <c r="I861" s="237" t="s">
        <v>94</v>
      </c>
      <c r="J861" s="238"/>
      <c r="K861" s="238"/>
      <c r="L861" s="238"/>
      <c r="M861" s="238"/>
      <c r="N861" s="238"/>
      <c r="O861" s="238"/>
      <c r="P861" s="238">
        <f>P862</f>
        <v>140000</v>
      </c>
      <c r="Q861" s="238">
        <f t="shared" ref="Q861:U861" si="1008">Q862</f>
        <v>140000</v>
      </c>
      <c r="R861" s="238">
        <f t="shared" si="1008"/>
        <v>140000</v>
      </c>
      <c r="S861" s="238">
        <f t="shared" si="1008"/>
        <v>0</v>
      </c>
      <c r="T861" s="238">
        <f t="shared" si="1008"/>
        <v>0</v>
      </c>
      <c r="U861" s="238">
        <f t="shared" si="1008"/>
        <v>0</v>
      </c>
      <c r="V861" s="238">
        <f t="shared" si="1001"/>
        <v>140000</v>
      </c>
      <c r="W861" s="238">
        <f t="shared" si="1001"/>
        <v>140000</v>
      </c>
      <c r="X861" s="238">
        <f t="shared" si="1001"/>
        <v>140000</v>
      </c>
    </row>
    <row r="862" spans="1:24" s="229" customFormat="1" ht="25.5" hidden="1">
      <c r="A862" s="239" t="s">
        <v>98</v>
      </c>
      <c r="B862" s="227" t="s">
        <v>402</v>
      </c>
      <c r="C862" s="227" t="s">
        <v>20</v>
      </c>
      <c r="D862" s="227" t="s">
        <v>16</v>
      </c>
      <c r="E862" s="227" t="s">
        <v>82</v>
      </c>
      <c r="F862" s="227" t="s">
        <v>70</v>
      </c>
      <c r="G862" s="227" t="s">
        <v>148</v>
      </c>
      <c r="H862" s="227" t="s">
        <v>218</v>
      </c>
      <c r="I862" s="237" t="s">
        <v>95</v>
      </c>
      <c r="J862" s="238"/>
      <c r="K862" s="238"/>
      <c r="L862" s="238"/>
      <c r="M862" s="238"/>
      <c r="N862" s="238"/>
      <c r="O862" s="238"/>
      <c r="P862" s="238">
        <v>140000</v>
      </c>
      <c r="Q862" s="238">
        <v>140000</v>
      </c>
      <c r="R862" s="238">
        <v>140000</v>
      </c>
      <c r="S862" s="238"/>
      <c r="T862" s="238"/>
      <c r="U862" s="238"/>
      <c r="V862" s="238">
        <f t="shared" si="1001"/>
        <v>140000</v>
      </c>
      <c r="W862" s="238">
        <f t="shared" si="1001"/>
        <v>140000</v>
      </c>
      <c r="X862" s="238">
        <f t="shared" si="1001"/>
        <v>140000</v>
      </c>
    </row>
    <row r="863" spans="1:24" s="229" customFormat="1" ht="42" hidden="1" customHeight="1">
      <c r="A863" s="235" t="s">
        <v>233</v>
      </c>
      <c r="B863" s="227" t="s">
        <v>402</v>
      </c>
      <c r="C863" s="227" t="s">
        <v>20</v>
      </c>
      <c r="D863" s="227" t="s">
        <v>16</v>
      </c>
      <c r="E863" s="227" t="s">
        <v>82</v>
      </c>
      <c r="F863" s="227" t="s">
        <v>70</v>
      </c>
      <c r="G863" s="227" t="s">
        <v>148</v>
      </c>
      <c r="H863" s="227" t="s">
        <v>232</v>
      </c>
      <c r="I863" s="237"/>
      <c r="J863" s="238"/>
      <c r="K863" s="238"/>
      <c r="L863" s="238"/>
      <c r="M863" s="238"/>
      <c r="N863" s="238"/>
      <c r="O863" s="238"/>
      <c r="P863" s="238">
        <f>P864+P866</f>
        <v>1205193.06</v>
      </c>
      <c r="Q863" s="238">
        <f t="shared" ref="Q863:U863" si="1009">Q864+Q866</f>
        <v>1256763.42</v>
      </c>
      <c r="R863" s="238">
        <f t="shared" si="1009"/>
        <v>1299085.31</v>
      </c>
      <c r="S863" s="238">
        <f t="shared" si="1009"/>
        <v>0</v>
      </c>
      <c r="T863" s="238">
        <f t="shared" si="1009"/>
        <v>0</v>
      </c>
      <c r="U863" s="238">
        <f t="shared" si="1009"/>
        <v>0</v>
      </c>
      <c r="V863" s="238">
        <f t="shared" si="1001"/>
        <v>1205193.06</v>
      </c>
      <c r="W863" s="238">
        <f t="shared" si="1001"/>
        <v>1256763.42</v>
      </c>
      <c r="X863" s="238">
        <f t="shared" si="1001"/>
        <v>1299085.31</v>
      </c>
    </row>
    <row r="864" spans="1:24" s="229" customFormat="1" ht="38.25" hidden="1">
      <c r="A864" s="239" t="s">
        <v>96</v>
      </c>
      <c r="B864" s="227" t="s">
        <v>402</v>
      </c>
      <c r="C864" s="227" t="s">
        <v>20</v>
      </c>
      <c r="D864" s="227" t="s">
        <v>16</v>
      </c>
      <c r="E864" s="227" t="s">
        <v>82</v>
      </c>
      <c r="F864" s="227" t="s">
        <v>70</v>
      </c>
      <c r="G864" s="227" t="s">
        <v>148</v>
      </c>
      <c r="H864" s="227" t="s">
        <v>232</v>
      </c>
      <c r="I864" s="237" t="s">
        <v>92</v>
      </c>
      <c r="J864" s="238"/>
      <c r="K864" s="238"/>
      <c r="L864" s="238"/>
      <c r="M864" s="238"/>
      <c r="N864" s="238"/>
      <c r="O864" s="238"/>
      <c r="P864" s="238">
        <f>P865</f>
        <v>1030193.0599999999</v>
      </c>
      <c r="Q864" s="238">
        <f t="shared" ref="Q864:U864" si="1010">Q865</f>
        <v>1081763.42</v>
      </c>
      <c r="R864" s="238">
        <f t="shared" si="1010"/>
        <v>1124085.31</v>
      </c>
      <c r="S864" s="238">
        <f t="shared" si="1010"/>
        <v>0</v>
      </c>
      <c r="T864" s="238">
        <f t="shared" si="1010"/>
        <v>0</v>
      </c>
      <c r="U864" s="238">
        <f t="shared" si="1010"/>
        <v>0</v>
      </c>
      <c r="V864" s="238">
        <f t="shared" si="1001"/>
        <v>1030193.0599999999</v>
      </c>
      <c r="W864" s="238">
        <f t="shared" si="1001"/>
        <v>1081763.42</v>
      </c>
      <c r="X864" s="238">
        <f t="shared" si="1001"/>
        <v>1124085.31</v>
      </c>
    </row>
    <row r="865" spans="1:24" s="229" customFormat="1" hidden="1">
      <c r="A865" s="239" t="s">
        <v>103</v>
      </c>
      <c r="B865" s="227" t="s">
        <v>402</v>
      </c>
      <c r="C865" s="227" t="s">
        <v>20</v>
      </c>
      <c r="D865" s="227" t="s">
        <v>16</v>
      </c>
      <c r="E865" s="227" t="s">
        <v>82</v>
      </c>
      <c r="F865" s="227" t="s">
        <v>70</v>
      </c>
      <c r="G865" s="227" t="s">
        <v>148</v>
      </c>
      <c r="H865" s="227" t="s">
        <v>232</v>
      </c>
      <c r="I865" s="237" t="s">
        <v>102</v>
      </c>
      <c r="J865" s="238"/>
      <c r="K865" s="238"/>
      <c r="L865" s="238"/>
      <c r="M865" s="238"/>
      <c r="N865" s="238"/>
      <c r="O865" s="238"/>
      <c r="P865" s="238">
        <v>1030193.0599999999</v>
      </c>
      <c r="Q865" s="238">
        <v>1081763.42</v>
      </c>
      <c r="R865" s="238">
        <v>1124085.31</v>
      </c>
      <c r="S865" s="238"/>
      <c r="T865" s="238"/>
      <c r="U865" s="238"/>
      <c r="V865" s="238">
        <f t="shared" si="1001"/>
        <v>1030193.0599999999</v>
      </c>
      <c r="W865" s="238">
        <f t="shared" si="1001"/>
        <v>1081763.42</v>
      </c>
      <c r="X865" s="238">
        <f t="shared" si="1001"/>
        <v>1124085.31</v>
      </c>
    </row>
    <row r="866" spans="1:24" s="229" customFormat="1" ht="25.5" hidden="1">
      <c r="A866" s="240" t="s">
        <v>260</v>
      </c>
      <c r="B866" s="227" t="s">
        <v>402</v>
      </c>
      <c r="C866" s="227" t="s">
        <v>20</v>
      </c>
      <c r="D866" s="227" t="s">
        <v>16</v>
      </c>
      <c r="E866" s="227" t="s">
        <v>82</v>
      </c>
      <c r="F866" s="227" t="s">
        <v>70</v>
      </c>
      <c r="G866" s="227" t="s">
        <v>148</v>
      </c>
      <c r="H866" s="227" t="s">
        <v>232</v>
      </c>
      <c r="I866" s="237" t="s">
        <v>94</v>
      </c>
      <c r="J866" s="238"/>
      <c r="K866" s="238"/>
      <c r="L866" s="238"/>
      <c r="M866" s="238"/>
      <c r="N866" s="238"/>
      <c r="O866" s="238"/>
      <c r="P866" s="238">
        <f>P867</f>
        <v>175000</v>
      </c>
      <c r="Q866" s="238">
        <f t="shared" ref="Q866:U866" si="1011">Q867</f>
        <v>175000</v>
      </c>
      <c r="R866" s="238">
        <f t="shared" si="1011"/>
        <v>175000</v>
      </c>
      <c r="S866" s="238">
        <f t="shared" si="1011"/>
        <v>0</v>
      </c>
      <c r="T866" s="238">
        <f t="shared" si="1011"/>
        <v>0</v>
      </c>
      <c r="U866" s="238">
        <f t="shared" si="1011"/>
        <v>0</v>
      </c>
      <c r="V866" s="238">
        <f t="shared" si="1001"/>
        <v>175000</v>
      </c>
      <c r="W866" s="238">
        <f t="shared" si="1001"/>
        <v>175000</v>
      </c>
      <c r="X866" s="238">
        <f t="shared" si="1001"/>
        <v>175000</v>
      </c>
    </row>
    <row r="867" spans="1:24" s="229" customFormat="1" ht="25.5" hidden="1">
      <c r="A867" s="239" t="s">
        <v>98</v>
      </c>
      <c r="B867" s="227" t="s">
        <v>402</v>
      </c>
      <c r="C867" s="227" t="s">
        <v>20</v>
      </c>
      <c r="D867" s="227" t="s">
        <v>16</v>
      </c>
      <c r="E867" s="227" t="s">
        <v>82</v>
      </c>
      <c r="F867" s="227" t="s">
        <v>70</v>
      </c>
      <c r="G867" s="227" t="s">
        <v>148</v>
      </c>
      <c r="H867" s="227" t="s">
        <v>232</v>
      </c>
      <c r="I867" s="237" t="s">
        <v>95</v>
      </c>
      <c r="J867" s="238"/>
      <c r="K867" s="238"/>
      <c r="L867" s="238"/>
      <c r="M867" s="238"/>
      <c r="N867" s="238"/>
      <c r="O867" s="238"/>
      <c r="P867" s="238">
        <v>175000</v>
      </c>
      <c r="Q867" s="238">
        <v>175000</v>
      </c>
      <c r="R867" s="238">
        <v>175000</v>
      </c>
      <c r="S867" s="238"/>
      <c r="T867" s="238"/>
      <c r="U867" s="238"/>
      <c r="V867" s="238">
        <f t="shared" si="1001"/>
        <v>175000</v>
      </c>
      <c r="W867" s="238">
        <f t="shared" si="1001"/>
        <v>175000</v>
      </c>
      <c r="X867" s="238">
        <f t="shared" si="1001"/>
        <v>175000</v>
      </c>
    </row>
    <row r="868" spans="1:24" s="229" customFormat="1" hidden="1">
      <c r="A868" s="230" t="s">
        <v>191</v>
      </c>
      <c r="B868" s="231" t="s">
        <v>402</v>
      </c>
      <c r="C868" s="231" t="s">
        <v>20</v>
      </c>
      <c r="D868" s="231" t="s">
        <v>18</v>
      </c>
      <c r="E868" s="231"/>
      <c r="F868" s="231"/>
      <c r="G868" s="231"/>
      <c r="H868" s="231"/>
      <c r="I868" s="242"/>
      <c r="J868" s="234"/>
      <c r="K868" s="234"/>
      <c r="L868" s="234"/>
      <c r="M868" s="234"/>
      <c r="N868" s="234"/>
      <c r="O868" s="234"/>
      <c r="P868" s="234">
        <f>P869</f>
        <v>719.90999999999985</v>
      </c>
      <c r="Q868" s="234">
        <f t="shared" ref="Q868:U871" si="1012">Q869</f>
        <v>756.7</v>
      </c>
      <c r="R868" s="234">
        <f t="shared" si="1012"/>
        <v>674.68000000000006</v>
      </c>
      <c r="S868" s="234">
        <f t="shared" si="1012"/>
        <v>0</v>
      </c>
      <c r="T868" s="234">
        <f t="shared" si="1012"/>
        <v>0</v>
      </c>
      <c r="U868" s="234">
        <f t="shared" si="1012"/>
        <v>0</v>
      </c>
      <c r="V868" s="234">
        <f t="shared" si="1001"/>
        <v>719.90999999999985</v>
      </c>
      <c r="W868" s="234">
        <f t="shared" si="1001"/>
        <v>756.7</v>
      </c>
      <c r="X868" s="234">
        <f t="shared" si="1001"/>
        <v>674.68000000000006</v>
      </c>
    </row>
    <row r="869" spans="1:24" s="229" customFormat="1" hidden="1">
      <c r="A869" s="235" t="s">
        <v>83</v>
      </c>
      <c r="B869" s="227" t="s">
        <v>402</v>
      </c>
      <c r="C869" s="227" t="s">
        <v>20</v>
      </c>
      <c r="D869" s="227" t="s">
        <v>18</v>
      </c>
      <c r="E869" s="227" t="s">
        <v>82</v>
      </c>
      <c r="F869" s="227" t="s">
        <v>70</v>
      </c>
      <c r="G869" s="227" t="s">
        <v>148</v>
      </c>
      <c r="H869" s="227" t="s">
        <v>149</v>
      </c>
      <c r="I869" s="237"/>
      <c r="J869" s="238"/>
      <c r="K869" s="238"/>
      <c r="L869" s="238"/>
      <c r="M869" s="238"/>
      <c r="N869" s="238"/>
      <c r="O869" s="238"/>
      <c r="P869" s="238">
        <f>P870</f>
        <v>719.90999999999985</v>
      </c>
      <c r="Q869" s="238">
        <f t="shared" si="1012"/>
        <v>756.7</v>
      </c>
      <c r="R869" s="238">
        <f t="shared" si="1012"/>
        <v>674.68000000000006</v>
      </c>
      <c r="S869" s="238">
        <f t="shared" si="1012"/>
        <v>0</v>
      </c>
      <c r="T869" s="238">
        <f t="shared" si="1012"/>
        <v>0</v>
      </c>
      <c r="U869" s="238">
        <f t="shared" si="1012"/>
        <v>0</v>
      </c>
      <c r="V869" s="238">
        <f t="shared" si="1001"/>
        <v>719.90999999999985</v>
      </c>
      <c r="W869" s="238">
        <f t="shared" si="1001"/>
        <v>756.7</v>
      </c>
      <c r="X869" s="238">
        <f t="shared" si="1001"/>
        <v>674.68000000000006</v>
      </c>
    </row>
    <row r="870" spans="1:24" s="229" customFormat="1" ht="38.25" hidden="1">
      <c r="A870" s="235" t="s">
        <v>205</v>
      </c>
      <c r="B870" s="227" t="s">
        <v>402</v>
      </c>
      <c r="C870" s="227" t="s">
        <v>20</v>
      </c>
      <c r="D870" s="227" t="s">
        <v>18</v>
      </c>
      <c r="E870" s="227" t="s">
        <v>82</v>
      </c>
      <c r="F870" s="227" t="s">
        <v>70</v>
      </c>
      <c r="G870" s="227" t="s">
        <v>148</v>
      </c>
      <c r="H870" s="227" t="s">
        <v>204</v>
      </c>
      <c r="I870" s="237"/>
      <c r="J870" s="238"/>
      <c r="K870" s="238"/>
      <c r="L870" s="238"/>
      <c r="M870" s="238"/>
      <c r="N870" s="238"/>
      <c r="O870" s="238"/>
      <c r="P870" s="238">
        <f>P871</f>
        <v>719.90999999999985</v>
      </c>
      <c r="Q870" s="238">
        <f t="shared" si="1012"/>
        <v>756.7</v>
      </c>
      <c r="R870" s="238">
        <f t="shared" si="1012"/>
        <v>674.68000000000006</v>
      </c>
      <c r="S870" s="238">
        <f t="shared" si="1012"/>
        <v>0</v>
      </c>
      <c r="T870" s="238">
        <f t="shared" si="1012"/>
        <v>0</v>
      </c>
      <c r="U870" s="238">
        <f t="shared" si="1012"/>
        <v>0</v>
      </c>
      <c r="V870" s="238">
        <f t="shared" si="1001"/>
        <v>719.90999999999985</v>
      </c>
      <c r="W870" s="238">
        <f t="shared" si="1001"/>
        <v>756.7</v>
      </c>
      <c r="X870" s="238">
        <f t="shared" si="1001"/>
        <v>674.68000000000006</v>
      </c>
    </row>
    <row r="871" spans="1:24" s="229" customFormat="1" ht="25.5" hidden="1">
      <c r="A871" s="240" t="s">
        <v>260</v>
      </c>
      <c r="B871" s="227" t="s">
        <v>402</v>
      </c>
      <c r="C871" s="227" t="s">
        <v>20</v>
      </c>
      <c r="D871" s="227" t="s">
        <v>18</v>
      </c>
      <c r="E871" s="227" t="s">
        <v>82</v>
      </c>
      <c r="F871" s="227" t="s">
        <v>70</v>
      </c>
      <c r="G871" s="227" t="s">
        <v>148</v>
      </c>
      <c r="H871" s="227" t="s">
        <v>204</v>
      </c>
      <c r="I871" s="237" t="s">
        <v>94</v>
      </c>
      <c r="J871" s="238"/>
      <c r="K871" s="238"/>
      <c r="L871" s="238"/>
      <c r="M871" s="238"/>
      <c r="N871" s="238"/>
      <c r="O871" s="238"/>
      <c r="P871" s="238">
        <f>P872</f>
        <v>719.90999999999985</v>
      </c>
      <c r="Q871" s="238">
        <f t="shared" si="1012"/>
        <v>756.7</v>
      </c>
      <c r="R871" s="238">
        <f t="shared" si="1012"/>
        <v>674.68000000000006</v>
      </c>
      <c r="S871" s="238">
        <f t="shared" si="1012"/>
        <v>0</v>
      </c>
      <c r="T871" s="238">
        <f t="shared" si="1012"/>
        <v>0</v>
      </c>
      <c r="U871" s="238">
        <f t="shared" si="1012"/>
        <v>0</v>
      </c>
      <c r="V871" s="238">
        <f t="shared" si="1001"/>
        <v>719.90999999999985</v>
      </c>
      <c r="W871" s="238">
        <f t="shared" si="1001"/>
        <v>756.7</v>
      </c>
      <c r="X871" s="238">
        <f t="shared" si="1001"/>
        <v>674.68000000000006</v>
      </c>
    </row>
    <row r="872" spans="1:24" s="229" customFormat="1" ht="25.5" hidden="1">
      <c r="A872" s="239" t="s">
        <v>98</v>
      </c>
      <c r="B872" s="227" t="s">
        <v>402</v>
      </c>
      <c r="C872" s="227" t="s">
        <v>20</v>
      </c>
      <c r="D872" s="227" t="s">
        <v>18</v>
      </c>
      <c r="E872" s="227" t="s">
        <v>82</v>
      </c>
      <c r="F872" s="227" t="s">
        <v>70</v>
      </c>
      <c r="G872" s="227" t="s">
        <v>148</v>
      </c>
      <c r="H872" s="227" t="s">
        <v>204</v>
      </c>
      <c r="I872" s="237" t="s">
        <v>95</v>
      </c>
      <c r="J872" s="238"/>
      <c r="K872" s="238"/>
      <c r="L872" s="238"/>
      <c r="M872" s="238"/>
      <c r="N872" s="238"/>
      <c r="O872" s="238"/>
      <c r="P872" s="238">
        <v>719.90999999999985</v>
      </c>
      <c r="Q872" s="238">
        <v>756.7</v>
      </c>
      <c r="R872" s="238">
        <v>674.68000000000006</v>
      </c>
      <c r="S872" s="238"/>
      <c r="T872" s="238"/>
      <c r="U872" s="238"/>
      <c r="V872" s="238">
        <f t="shared" si="1001"/>
        <v>719.90999999999985</v>
      </c>
      <c r="W872" s="238">
        <f t="shared" si="1001"/>
        <v>756.7</v>
      </c>
      <c r="X872" s="238">
        <f t="shared" si="1001"/>
        <v>674.68000000000006</v>
      </c>
    </row>
    <row r="873" spans="1:24" s="229" customFormat="1" hidden="1">
      <c r="A873" s="230" t="s">
        <v>1</v>
      </c>
      <c r="B873" s="231" t="s">
        <v>402</v>
      </c>
      <c r="C873" s="231" t="s">
        <v>20</v>
      </c>
      <c r="D873" s="231" t="s">
        <v>49</v>
      </c>
      <c r="E873" s="231"/>
      <c r="F873" s="231"/>
      <c r="G873" s="231"/>
      <c r="H873" s="227"/>
      <c r="I873" s="237"/>
      <c r="J873" s="234"/>
      <c r="K873" s="234"/>
      <c r="L873" s="234"/>
      <c r="M873" s="234"/>
      <c r="N873" s="234"/>
      <c r="O873" s="234"/>
      <c r="P873" s="234">
        <f>P874+P878+P883+P888</f>
        <v>7912058.5499999998</v>
      </c>
      <c r="Q873" s="234">
        <f t="shared" ref="Q873:U873" si="1013">Q874+Q878+Q883+Q888</f>
        <v>2306400</v>
      </c>
      <c r="R873" s="234">
        <f t="shared" si="1013"/>
        <v>806400</v>
      </c>
      <c r="S873" s="234">
        <f t="shared" si="1013"/>
        <v>1030356.26</v>
      </c>
      <c r="T873" s="234">
        <f t="shared" si="1013"/>
        <v>0</v>
      </c>
      <c r="U873" s="234">
        <f t="shared" si="1013"/>
        <v>0</v>
      </c>
      <c r="V873" s="234">
        <f t="shared" si="1001"/>
        <v>8942414.8100000005</v>
      </c>
      <c r="W873" s="234">
        <f t="shared" si="1001"/>
        <v>2306400</v>
      </c>
      <c r="X873" s="234">
        <f t="shared" si="1001"/>
        <v>806400</v>
      </c>
    </row>
    <row r="874" spans="1:24" s="229" customFormat="1" ht="38.25" hidden="1">
      <c r="A874" s="235" t="s">
        <v>288</v>
      </c>
      <c r="B874" s="243" t="s">
        <v>402</v>
      </c>
      <c r="C874" s="243" t="s">
        <v>20</v>
      </c>
      <c r="D874" s="227" t="s">
        <v>49</v>
      </c>
      <c r="E874" s="227" t="s">
        <v>13</v>
      </c>
      <c r="F874" s="227" t="s">
        <v>70</v>
      </c>
      <c r="G874" s="227" t="s">
        <v>148</v>
      </c>
      <c r="H874" s="227" t="s">
        <v>149</v>
      </c>
      <c r="I874" s="237"/>
      <c r="J874" s="244"/>
      <c r="K874" s="244"/>
      <c r="L874" s="244"/>
      <c r="M874" s="244"/>
      <c r="N874" s="244"/>
      <c r="O874" s="244"/>
      <c r="P874" s="244">
        <f>P875</f>
        <v>900000</v>
      </c>
      <c r="Q874" s="244">
        <f t="shared" ref="Q874:U876" si="1014">Q875</f>
        <v>806400</v>
      </c>
      <c r="R874" s="244">
        <f t="shared" si="1014"/>
        <v>806400</v>
      </c>
      <c r="S874" s="244">
        <f t="shared" si="1014"/>
        <v>0</v>
      </c>
      <c r="T874" s="244">
        <f t="shared" si="1014"/>
        <v>0</v>
      </c>
      <c r="U874" s="244">
        <f t="shared" si="1014"/>
        <v>0</v>
      </c>
      <c r="V874" s="244">
        <f t="shared" si="1001"/>
        <v>900000</v>
      </c>
      <c r="W874" s="244">
        <f t="shared" si="1001"/>
        <v>806400</v>
      </c>
      <c r="X874" s="244">
        <f t="shared" si="1001"/>
        <v>806400</v>
      </c>
    </row>
    <row r="875" spans="1:24" s="229" customFormat="1" ht="25.5" hidden="1">
      <c r="A875" s="235" t="s">
        <v>79</v>
      </c>
      <c r="B875" s="243" t="s">
        <v>402</v>
      </c>
      <c r="C875" s="227" t="s">
        <v>20</v>
      </c>
      <c r="D875" s="227" t="s">
        <v>49</v>
      </c>
      <c r="E875" s="227" t="s">
        <v>13</v>
      </c>
      <c r="F875" s="227" t="s">
        <v>70</v>
      </c>
      <c r="G875" s="227" t="s">
        <v>148</v>
      </c>
      <c r="H875" s="227" t="s">
        <v>331</v>
      </c>
      <c r="I875" s="237"/>
      <c r="J875" s="238"/>
      <c r="K875" s="238"/>
      <c r="L875" s="238"/>
      <c r="M875" s="238"/>
      <c r="N875" s="238"/>
      <c r="O875" s="238"/>
      <c r="P875" s="238">
        <f>P876</f>
        <v>900000</v>
      </c>
      <c r="Q875" s="238">
        <f t="shared" si="1014"/>
        <v>806400</v>
      </c>
      <c r="R875" s="238">
        <f t="shared" si="1014"/>
        <v>806400</v>
      </c>
      <c r="S875" s="238">
        <f t="shared" si="1014"/>
        <v>0</v>
      </c>
      <c r="T875" s="238">
        <f t="shared" si="1014"/>
        <v>0</v>
      </c>
      <c r="U875" s="238">
        <f t="shared" si="1014"/>
        <v>0</v>
      </c>
      <c r="V875" s="238">
        <f t="shared" si="1001"/>
        <v>900000</v>
      </c>
      <c r="W875" s="238">
        <f t="shared" si="1001"/>
        <v>806400</v>
      </c>
      <c r="X875" s="238">
        <f t="shared" si="1001"/>
        <v>806400</v>
      </c>
    </row>
    <row r="876" spans="1:24" s="229" customFormat="1" hidden="1">
      <c r="A876" s="245" t="s">
        <v>80</v>
      </c>
      <c r="B876" s="243" t="s">
        <v>402</v>
      </c>
      <c r="C876" s="227" t="s">
        <v>20</v>
      </c>
      <c r="D876" s="227" t="s">
        <v>49</v>
      </c>
      <c r="E876" s="227" t="s">
        <v>13</v>
      </c>
      <c r="F876" s="227" t="s">
        <v>70</v>
      </c>
      <c r="G876" s="227" t="s">
        <v>148</v>
      </c>
      <c r="H876" s="227" t="s">
        <v>331</v>
      </c>
      <c r="I876" s="237" t="s">
        <v>77</v>
      </c>
      <c r="J876" s="238"/>
      <c r="K876" s="238"/>
      <c r="L876" s="238"/>
      <c r="M876" s="238"/>
      <c r="N876" s="238"/>
      <c r="O876" s="238"/>
      <c r="P876" s="238">
        <f>P877</f>
        <v>900000</v>
      </c>
      <c r="Q876" s="238">
        <f t="shared" si="1014"/>
        <v>806400</v>
      </c>
      <c r="R876" s="238">
        <f t="shared" si="1014"/>
        <v>806400</v>
      </c>
      <c r="S876" s="238">
        <f t="shared" si="1014"/>
        <v>0</v>
      </c>
      <c r="T876" s="238">
        <f t="shared" si="1014"/>
        <v>0</v>
      </c>
      <c r="U876" s="238">
        <f t="shared" si="1014"/>
        <v>0</v>
      </c>
      <c r="V876" s="238">
        <f t="shared" si="1001"/>
        <v>900000</v>
      </c>
      <c r="W876" s="238">
        <f t="shared" si="1001"/>
        <v>806400</v>
      </c>
      <c r="X876" s="238">
        <f t="shared" si="1001"/>
        <v>806400</v>
      </c>
    </row>
    <row r="877" spans="1:24" s="229" customFormat="1" ht="25.5" hidden="1">
      <c r="A877" s="246" t="s">
        <v>81</v>
      </c>
      <c r="B877" s="243" t="s">
        <v>402</v>
      </c>
      <c r="C877" s="227" t="s">
        <v>20</v>
      </c>
      <c r="D877" s="227" t="s">
        <v>49</v>
      </c>
      <c r="E877" s="227" t="s">
        <v>13</v>
      </c>
      <c r="F877" s="227" t="s">
        <v>70</v>
      </c>
      <c r="G877" s="227" t="s">
        <v>148</v>
      </c>
      <c r="H877" s="227" t="s">
        <v>331</v>
      </c>
      <c r="I877" s="237" t="s">
        <v>78</v>
      </c>
      <c r="J877" s="238"/>
      <c r="K877" s="238"/>
      <c r="L877" s="238"/>
      <c r="M877" s="238"/>
      <c r="N877" s="238"/>
      <c r="O877" s="238"/>
      <c r="P877" s="238">
        <v>900000</v>
      </c>
      <c r="Q877" s="238">
        <v>806400</v>
      </c>
      <c r="R877" s="238">
        <v>806400</v>
      </c>
      <c r="S877" s="238"/>
      <c r="T877" s="238"/>
      <c r="U877" s="238"/>
      <c r="V877" s="238">
        <f t="shared" si="1001"/>
        <v>900000</v>
      </c>
      <c r="W877" s="238">
        <f t="shared" si="1001"/>
        <v>806400</v>
      </c>
      <c r="X877" s="238">
        <f t="shared" si="1001"/>
        <v>806400</v>
      </c>
    </row>
    <row r="878" spans="1:24" s="229" customFormat="1" ht="38.25" hidden="1">
      <c r="A878" s="235" t="s">
        <v>289</v>
      </c>
      <c r="B878" s="243" t="s">
        <v>402</v>
      </c>
      <c r="C878" s="243" t="s">
        <v>20</v>
      </c>
      <c r="D878" s="243" t="s">
        <v>49</v>
      </c>
      <c r="E878" s="243" t="s">
        <v>27</v>
      </c>
      <c r="F878" s="243" t="s">
        <v>70</v>
      </c>
      <c r="G878" s="243" t="s">
        <v>148</v>
      </c>
      <c r="H878" s="227" t="s">
        <v>149</v>
      </c>
      <c r="I878" s="237"/>
      <c r="J878" s="244"/>
      <c r="K878" s="244"/>
      <c r="L878" s="244"/>
      <c r="M878" s="244"/>
      <c r="N878" s="244"/>
      <c r="O878" s="244"/>
      <c r="P878" s="244">
        <f>P879</f>
        <v>500000</v>
      </c>
      <c r="Q878" s="244">
        <f t="shared" ref="Q878:U881" si="1015">Q879</f>
        <v>1500000</v>
      </c>
      <c r="R878" s="244">
        <f t="shared" si="1015"/>
        <v>0</v>
      </c>
      <c r="S878" s="244">
        <f t="shared" si="1015"/>
        <v>0</v>
      </c>
      <c r="T878" s="244">
        <f t="shared" si="1015"/>
        <v>0</v>
      </c>
      <c r="U878" s="244">
        <f t="shared" si="1015"/>
        <v>0</v>
      </c>
      <c r="V878" s="244">
        <f t="shared" si="1001"/>
        <v>500000</v>
      </c>
      <c r="W878" s="244">
        <f t="shared" si="1001"/>
        <v>1500000</v>
      </c>
      <c r="X878" s="244">
        <f t="shared" si="1001"/>
        <v>0</v>
      </c>
    </row>
    <row r="879" spans="1:24" s="229" customFormat="1" hidden="1">
      <c r="A879" s="235" t="s">
        <v>211</v>
      </c>
      <c r="B879" s="243" t="s">
        <v>402</v>
      </c>
      <c r="C879" s="243" t="s">
        <v>20</v>
      </c>
      <c r="D879" s="243" t="s">
        <v>49</v>
      </c>
      <c r="E879" s="243" t="s">
        <v>27</v>
      </c>
      <c r="F879" s="243" t="s">
        <v>44</v>
      </c>
      <c r="G879" s="243" t="s">
        <v>148</v>
      </c>
      <c r="H879" s="227" t="s">
        <v>149</v>
      </c>
      <c r="I879" s="237"/>
      <c r="J879" s="244"/>
      <c r="K879" s="244"/>
      <c r="L879" s="244"/>
      <c r="M879" s="244"/>
      <c r="N879" s="244"/>
      <c r="O879" s="244"/>
      <c r="P879" s="244">
        <f>P880</f>
        <v>500000</v>
      </c>
      <c r="Q879" s="244">
        <f t="shared" si="1015"/>
        <v>1500000</v>
      </c>
      <c r="R879" s="244">
        <f t="shared" si="1015"/>
        <v>0</v>
      </c>
      <c r="S879" s="244">
        <f t="shared" si="1015"/>
        <v>0</v>
      </c>
      <c r="T879" s="244">
        <f t="shared" si="1015"/>
        <v>0</v>
      </c>
      <c r="U879" s="244">
        <f t="shared" si="1015"/>
        <v>0</v>
      </c>
      <c r="V879" s="244">
        <f t="shared" ref="V879:X908" si="1016">P879+S879</f>
        <v>500000</v>
      </c>
      <c r="W879" s="244">
        <f t="shared" si="1016"/>
        <v>1500000</v>
      </c>
      <c r="X879" s="244">
        <f t="shared" si="1016"/>
        <v>0</v>
      </c>
    </row>
    <row r="880" spans="1:24" s="229" customFormat="1" ht="25.5" hidden="1">
      <c r="A880" s="235" t="s">
        <v>212</v>
      </c>
      <c r="B880" s="243" t="s">
        <v>402</v>
      </c>
      <c r="C880" s="243" t="s">
        <v>20</v>
      </c>
      <c r="D880" s="243" t="s">
        <v>49</v>
      </c>
      <c r="E880" s="243" t="s">
        <v>27</v>
      </c>
      <c r="F880" s="243" t="s">
        <v>44</v>
      </c>
      <c r="G880" s="243" t="s">
        <v>148</v>
      </c>
      <c r="H880" s="227" t="s">
        <v>213</v>
      </c>
      <c r="I880" s="237"/>
      <c r="J880" s="244"/>
      <c r="K880" s="244"/>
      <c r="L880" s="244"/>
      <c r="M880" s="244"/>
      <c r="N880" s="244"/>
      <c r="O880" s="244"/>
      <c r="P880" s="244">
        <f>P881</f>
        <v>500000</v>
      </c>
      <c r="Q880" s="244">
        <f t="shared" si="1015"/>
        <v>1500000</v>
      </c>
      <c r="R880" s="244">
        <f t="shared" si="1015"/>
        <v>0</v>
      </c>
      <c r="S880" s="244">
        <f t="shared" si="1015"/>
        <v>0</v>
      </c>
      <c r="T880" s="244">
        <f t="shared" si="1015"/>
        <v>0</v>
      </c>
      <c r="U880" s="244">
        <f t="shared" si="1015"/>
        <v>0</v>
      </c>
      <c r="V880" s="244">
        <f t="shared" si="1016"/>
        <v>500000</v>
      </c>
      <c r="W880" s="244">
        <f t="shared" si="1016"/>
        <v>1500000</v>
      </c>
      <c r="X880" s="244">
        <f t="shared" si="1016"/>
        <v>0</v>
      </c>
    </row>
    <row r="881" spans="1:24" s="229" customFormat="1" ht="25.5" hidden="1">
      <c r="A881" s="240" t="s">
        <v>260</v>
      </c>
      <c r="B881" s="243" t="s">
        <v>402</v>
      </c>
      <c r="C881" s="243" t="s">
        <v>20</v>
      </c>
      <c r="D881" s="243" t="s">
        <v>49</v>
      </c>
      <c r="E881" s="243" t="s">
        <v>27</v>
      </c>
      <c r="F881" s="243" t="s">
        <v>44</v>
      </c>
      <c r="G881" s="243" t="s">
        <v>148</v>
      </c>
      <c r="H881" s="227" t="s">
        <v>213</v>
      </c>
      <c r="I881" s="237" t="s">
        <v>94</v>
      </c>
      <c r="J881" s="244"/>
      <c r="K881" s="244"/>
      <c r="L881" s="244"/>
      <c r="M881" s="244"/>
      <c r="N881" s="244"/>
      <c r="O881" s="244"/>
      <c r="P881" s="244">
        <f>P882</f>
        <v>500000</v>
      </c>
      <c r="Q881" s="244">
        <f t="shared" si="1015"/>
        <v>1500000</v>
      </c>
      <c r="R881" s="244">
        <f t="shared" si="1015"/>
        <v>0</v>
      </c>
      <c r="S881" s="244">
        <f t="shared" si="1015"/>
        <v>0</v>
      </c>
      <c r="T881" s="244">
        <f t="shared" si="1015"/>
        <v>0</v>
      </c>
      <c r="U881" s="244">
        <f t="shared" si="1015"/>
        <v>0</v>
      </c>
      <c r="V881" s="244">
        <f t="shared" si="1016"/>
        <v>500000</v>
      </c>
      <c r="W881" s="244">
        <f t="shared" si="1016"/>
        <v>1500000</v>
      </c>
      <c r="X881" s="244">
        <f t="shared" si="1016"/>
        <v>0</v>
      </c>
    </row>
    <row r="882" spans="1:24" s="229" customFormat="1" ht="25.5" hidden="1">
      <c r="A882" s="239" t="s">
        <v>98</v>
      </c>
      <c r="B882" s="243" t="s">
        <v>402</v>
      </c>
      <c r="C882" s="243" t="s">
        <v>20</v>
      </c>
      <c r="D882" s="243" t="s">
        <v>49</v>
      </c>
      <c r="E882" s="243" t="s">
        <v>27</v>
      </c>
      <c r="F882" s="243" t="s">
        <v>44</v>
      </c>
      <c r="G882" s="243" t="s">
        <v>148</v>
      </c>
      <c r="H882" s="227" t="s">
        <v>213</v>
      </c>
      <c r="I882" s="237" t="s">
        <v>95</v>
      </c>
      <c r="J882" s="244"/>
      <c r="K882" s="244"/>
      <c r="L882" s="244"/>
      <c r="M882" s="244"/>
      <c r="N882" s="244"/>
      <c r="O882" s="244"/>
      <c r="P882" s="244">
        <v>500000</v>
      </c>
      <c r="Q882" s="244">
        <v>1500000</v>
      </c>
      <c r="R882" s="244">
        <v>0</v>
      </c>
      <c r="S882" s="244"/>
      <c r="T882" s="244"/>
      <c r="U882" s="244"/>
      <c r="V882" s="244">
        <f t="shared" si="1016"/>
        <v>500000</v>
      </c>
      <c r="W882" s="244">
        <f t="shared" si="1016"/>
        <v>1500000</v>
      </c>
      <c r="X882" s="244">
        <f t="shared" si="1016"/>
        <v>0</v>
      </c>
    </row>
    <row r="883" spans="1:24" s="229" customFormat="1" ht="38.25" hidden="1">
      <c r="A883" s="241" t="s">
        <v>294</v>
      </c>
      <c r="B883" s="247" t="s">
        <v>402</v>
      </c>
      <c r="C883" s="247" t="s">
        <v>20</v>
      </c>
      <c r="D883" s="247" t="s">
        <v>49</v>
      </c>
      <c r="E883" s="227" t="s">
        <v>19</v>
      </c>
      <c r="F883" s="227" t="s">
        <v>70</v>
      </c>
      <c r="G883" s="227" t="s">
        <v>148</v>
      </c>
      <c r="H883" s="247" t="s">
        <v>149</v>
      </c>
      <c r="I883" s="248"/>
      <c r="J883" s="238"/>
      <c r="K883" s="238"/>
      <c r="L883" s="238"/>
      <c r="M883" s="238"/>
      <c r="N883" s="238"/>
      <c r="O883" s="238"/>
      <c r="P883" s="238">
        <f>P884</f>
        <v>4681458.55</v>
      </c>
      <c r="Q883" s="238">
        <f t="shared" ref="Q883:U886" si="1017">Q884</f>
        <v>0</v>
      </c>
      <c r="R883" s="238">
        <f t="shared" si="1017"/>
        <v>0</v>
      </c>
      <c r="S883" s="238">
        <f t="shared" si="1017"/>
        <v>1030356.26</v>
      </c>
      <c r="T883" s="238">
        <f t="shared" si="1017"/>
        <v>0</v>
      </c>
      <c r="U883" s="238">
        <f t="shared" si="1017"/>
        <v>0</v>
      </c>
      <c r="V883" s="238">
        <f t="shared" si="1016"/>
        <v>5711814.8099999996</v>
      </c>
      <c r="W883" s="238">
        <f t="shared" si="1016"/>
        <v>0</v>
      </c>
      <c r="X883" s="238">
        <f t="shared" si="1016"/>
        <v>0</v>
      </c>
    </row>
    <row r="884" spans="1:24" s="229" customFormat="1" ht="25.5" hidden="1">
      <c r="A884" s="241" t="s">
        <v>296</v>
      </c>
      <c r="B884" s="247" t="s">
        <v>402</v>
      </c>
      <c r="C884" s="247" t="s">
        <v>20</v>
      </c>
      <c r="D884" s="247" t="s">
        <v>49</v>
      </c>
      <c r="E884" s="227" t="s">
        <v>19</v>
      </c>
      <c r="F884" s="227" t="s">
        <v>127</v>
      </c>
      <c r="G884" s="227" t="s">
        <v>148</v>
      </c>
      <c r="H884" s="247" t="s">
        <v>149</v>
      </c>
      <c r="I884" s="248"/>
      <c r="J884" s="238"/>
      <c r="K884" s="238"/>
      <c r="L884" s="238"/>
      <c r="M884" s="238"/>
      <c r="N884" s="238"/>
      <c r="O884" s="238"/>
      <c r="P884" s="238">
        <f>P885</f>
        <v>4681458.55</v>
      </c>
      <c r="Q884" s="238">
        <f t="shared" si="1017"/>
        <v>0</v>
      </c>
      <c r="R884" s="238">
        <f t="shared" si="1017"/>
        <v>0</v>
      </c>
      <c r="S884" s="238">
        <f t="shared" si="1017"/>
        <v>1030356.26</v>
      </c>
      <c r="T884" s="238">
        <f t="shared" si="1017"/>
        <v>0</v>
      </c>
      <c r="U884" s="238">
        <f t="shared" si="1017"/>
        <v>0</v>
      </c>
      <c r="V884" s="238">
        <f t="shared" si="1016"/>
        <v>5711814.8099999996</v>
      </c>
      <c r="W884" s="238">
        <f t="shared" si="1016"/>
        <v>0</v>
      </c>
      <c r="X884" s="238">
        <f t="shared" si="1016"/>
        <v>0</v>
      </c>
    </row>
    <row r="885" spans="1:24" s="229" customFormat="1" ht="51" hidden="1">
      <c r="A885" s="241" t="s">
        <v>299</v>
      </c>
      <c r="B885" s="247" t="s">
        <v>402</v>
      </c>
      <c r="C885" s="247" t="s">
        <v>20</v>
      </c>
      <c r="D885" s="247" t="s">
        <v>49</v>
      </c>
      <c r="E885" s="227" t="s">
        <v>19</v>
      </c>
      <c r="F885" s="227" t="s">
        <v>127</v>
      </c>
      <c r="G885" s="227" t="s">
        <v>148</v>
      </c>
      <c r="H885" s="247" t="s">
        <v>298</v>
      </c>
      <c r="I885" s="248"/>
      <c r="J885" s="238"/>
      <c r="K885" s="238"/>
      <c r="L885" s="238"/>
      <c r="M885" s="238"/>
      <c r="N885" s="238"/>
      <c r="O885" s="238"/>
      <c r="P885" s="238">
        <f>P886</f>
        <v>4681458.55</v>
      </c>
      <c r="Q885" s="238">
        <f t="shared" si="1017"/>
        <v>0</v>
      </c>
      <c r="R885" s="238">
        <f t="shared" si="1017"/>
        <v>0</v>
      </c>
      <c r="S885" s="238">
        <f t="shared" si="1017"/>
        <v>1030356.26</v>
      </c>
      <c r="T885" s="238">
        <f t="shared" si="1017"/>
        <v>0</v>
      </c>
      <c r="U885" s="238">
        <f t="shared" si="1017"/>
        <v>0</v>
      </c>
      <c r="V885" s="238">
        <f t="shared" si="1016"/>
        <v>5711814.8099999996</v>
      </c>
      <c r="W885" s="238">
        <f t="shared" si="1016"/>
        <v>0</v>
      </c>
      <c r="X885" s="238">
        <f t="shared" si="1016"/>
        <v>0</v>
      </c>
    </row>
    <row r="886" spans="1:24" s="229" customFormat="1" hidden="1">
      <c r="A886" s="235" t="s">
        <v>100</v>
      </c>
      <c r="B886" s="247" t="s">
        <v>402</v>
      </c>
      <c r="C886" s="247" t="s">
        <v>20</v>
      </c>
      <c r="D886" s="247" t="s">
        <v>49</v>
      </c>
      <c r="E886" s="227" t="s">
        <v>19</v>
      </c>
      <c r="F886" s="227" t="s">
        <v>127</v>
      </c>
      <c r="G886" s="227" t="s">
        <v>148</v>
      </c>
      <c r="H886" s="247" t="s">
        <v>298</v>
      </c>
      <c r="I886" s="248" t="s">
        <v>99</v>
      </c>
      <c r="J886" s="238"/>
      <c r="K886" s="238"/>
      <c r="L886" s="238"/>
      <c r="M886" s="238"/>
      <c r="N886" s="238"/>
      <c r="O886" s="238"/>
      <c r="P886" s="238">
        <f>P887</f>
        <v>4681458.55</v>
      </c>
      <c r="Q886" s="238">
        <f t="shared" si="1017"/>
        <v>0</v>
      </c>
      <c r="R886" s="238">
        <f t="shared" si="1017"/>
        <v>0</v>
      </c>
      <c r="S886" s="238">
        <f t="shared" si="1017"/>
        <v>1030356.26</v>
      </c>
      <c r="T886" s="238">
        <f t="shared" si="1017"/>
        <v>0</v>
      </c>
      <c r="U886" s="238">
        <f t="shared" si="1017"/>
        <v>0</v>
      </c>
      <c r="V886" s="238">
        <f t="shared" si="1016"/>
        <v>5711814.8099999996</v>
      </c>
      <c r="W886" s="238">
        <f t="shared" si="1016"/>
        <v>0</v>
      </c>
      <c r="X886" s="238">
        <f t="shared" si="1016"/>
        <v>0</v>
      </c>
    </row>
    <row r="887" spans="1:24" s="229" customFormat="1" ht="25.5" hidden="1">
      <c r="A887" s="235" t="s">
        <v>106</v>
      </c>
      <c r="B887" s="247" t="s">
        <v>402</v>
      </c>
      <c r="C887" s="247" t="s">
        <v>20</v>
      </c>
      <c r="D887" s="247" t="s">
        <v>49</v>
      </c>
      <c r="E887" s="227" t="s">
        <v>19</v>
      </c>
      <c r="F887" s="227" t="s">
        <v>127</v>
      </c>
      <c r="G887" s="227" t="s">
        <v>148</v>
      </c>
      <c r="H887" s="247" t="s">
        <v>298</v>
      </c>
      <c r="I887" s="248" t="s">
        <v>107</v>
      </c>
      <c r="J887" s="238"/>
      <c r="K887" s="238"/>
      <c r="L887" s="238"/>
      <c r="M887" s="238"/>
      <c r="N887" s="238"/>
      <c r="O887" s="238"/>
      <c r="P887" s="238">
        <f>4683688.14-2229.59</f>
        <v>4681458.55</v>
      </c>
      <c r="Q887" s="238">
        <f t="shared" ref="Q887:R887" si="1018">K887+N887</f>
        <v>0</v>
      </c>
      <c r="R887" s="238">
        <f t="shared" si="1018"/>
        <v>0</v>
      </c>
      <c r="S887" s="238">
        <v>1030356.26</v>
      </c>
      <c r="T887" s="238"/>
      <c r="U887" s="238"/>
      <c r="V887" s="238">
        <f t="shared" si="1016"/>
        <v>5711814.8099999996</v>
      </c>
      <c r="W887" s="238">
        <f t="shared" si="1016"/>
        <v>0</v>
      </c>
      <c r="X887" s="238">
        <f t="shared" si="1016"/>
        <v>0</v>
      </c>
    </row>
    <row r="888" spans="1:24" s="229" customFormat="1" hidden="1">
      <c r="A888" s="235" t="s">
        <v>83</v>
      </c>
      <c r="B888" s="247" t="s">
        <v>402</v>
      </c>
      <c r="C888" s="247" t="s">
        <v>20</v>
      </c>
      <c r="D888" s="247" t="s">
        <v>49</v>
      </c>
      <c r="E888" s="227" t="s">
        <v>82</v>
      </c>
      <c r="F888" s="227" t="s">
        <v>70</v>
      </c>
      <c r="G888" s="227" t="s">
        <v>148</v>
      </c>
      <c r="H888" s="247" t="s">
        <v>149</v>
      </c>
      <c r="I888" s="248"/>
      <c r="J888" s="238"/>
      <c r="K888" s="238"/>
      <c r="L888" s="238"/>
      <c r="M888" s="238"/>
      <c r="N888" s="238"/>
      <c r="O888" s="238"/>
      <c r="P888" s="238">
        <f>P889+P892</f>
        <v>1830600</v>
      </c>
      <c r="Q888" s="238">
        <f t="shared" ref="Q888:U888" si="1019">Q889+Q892</f>
        <v>0</v>
      </c>
      <c r="R888" s="238">
        <f t="shared" si="1019"/>
        <v>0</v>
      </c>
      <c r="S888" s="238">
        <f t="shared" si="1019"/>
        <v>0</v>
      </c>
      <c r="T888" s="238">
        <f t="shared" si="1019"/>
        <v>0</v>
      </c>
      <c r="U888" s="238">
        <f t="shared" si="1019"/>
        <v>0</v>
      </c>
      <c r="V888" s="238">
        <f t="shared" si="1016"/>
        <v>1830600</v>
      </c>
      <c r="W888" s="238">
        <f t="shared" si="1016"/>
        <v>0</v>
      </c>
      <c r="X888" s="238">
        <f t="shared" si="1016"/>
        <v>0</v>
      </c>
    </row>
    <row r="889" spans="1:24" s="229" customFormat="1" hidden="1">
      <c r="A889" s="241" t="s">
        <v>240</v>
      </c>
      <c r="B889" s="247" t="s">
        <v>402</v>
      </c>
      <c r="C889" s="247" t="s">
        <v>20</v>
      </c>
      <c r="D889" s="247" t="s">
        <v>49</v>
      </c>
      <c r="E889" s="227" t="s">
        <v>82</v>
      </c>
      <c r="F889" s="227" t="s">
        <v>70</v>
      </c>
      <c r="G889" s="227" t="s">
        <v>148</v>
      </c>
      <c r="H889" s="247" t="s">
        <v>241</v>
      </c>
      <c r="I889" s="248"/>
      <c r="J889" s="238"/>
      <c r="K889" s="238"/>
      <c r="L889" s="238"/>
      <c r="M889" s="238"/>
      <c r="N889" s="238"/>
      <c r="O889" s="238"/>
      <c r="P889" s="238">
        <f>P890</f>
        <v>115000</v>
      </c>
      <c r="Q889" s="238">
        <f t="shared" ref="Q889:U890" si="1020">Q890</f>
        <v>0</v>
      </c>
      <c r="R889" s="238">
        <f t="shared" si="1020"/>
        <v>0</v>
      </c>
      <c r="S889" s="238">
        <f t="shared" si="1020"/>
        <v>0</v>
      </c>
      <c r="T889" s="238">
        <f t="shared" si="1020"/>
        <v>0</v>
      </c>
      <c r="U889" s="238">
        <f t="shared" si="1020"/>
        <v>0</v>
      </c>
      <c r="V889" s="238">
        <f t="shared" si="1016"/>
        <v>115000</v>
      </c>
      <c r="W889" s="238">
        <f t="shared" si="1016"/>
        <v>0</v>
      </c>
      <c r="X889" s="238">
        <f t="shared" si="1016"/>
        <v>0</v>
      </c>
    </row>
    <row r="890" spans="1:24" s="229" customFormat="1" ht="25.5" hidden="1">
      <c r="A890" s="240" t="s">
        <v>260</v>
      </c>
      <c r="B890" s="247" t="s">
        <v>402</v>
      </c>
      <c r="C890" s="247" t="s">
        <v>20</v>
      </c>
      <c r="D890" s="247" t="s">
        <v>49</v>
      </c>
      <c r="E890" s="227" t="s">
        <v>82</v>
      </c>
      <c r="F890" s="227" t="s">
        <v>70</v>
      </c>
      <c r="G890" s="227" t="s">
        <v>148</v>
      </c>
      <c r="H890" s="247" t="s">
        <v>241</v>
      </c>
      <c r="I890" s="248" t="s">
        <v>94</v>
      </c>
      <c r="J890" s="238"/>
      <c r="K890" s="238"/>
      <c r="L890" s="238"/>
      <c r="M890" s="238"/>
      <c r="N890" s="238"/>
      <c r="O890" s="238"/>
      <c r="P890" s="238">
        <f>P891</f>
        <v>115000</v>
      </c>
      <c r="Q890" s="238">
        <f t="shared" si="1020"/>
        <v>0</v>
      </c>
      <c r="R890" s="238">
        <f t="shared" si="1020"/>
        <v>0</v>
      </c>
      <c r="S890" s="238">
        <f t="shared" si="1020"/>
        <v>0</v>
      </c>
      <c r="T890" s="238">
        <f t="shared" si="1020"/>
        <v>0</v>
      </c>
      <c r="U890" s="238">
        <f t="shared" si="1020"/>
        <v>0</v>
      </c>
      <c r="V890" s="238">
        <f t="shared" si="1016"/>
        <v>115000</v>
      </c>
      <c r="W890" s="238">
        <f t="shared" si="1016"/>
        <v>0</v>
      </c>
      <c r="X890" s="238">
        <f t="shared" si="1016"/>
        <v>0</v>
      </c>
    </row>
    <row r="891" spans="1:24" s="229" customFormat="1" ht="25.5" hidden="1">
      <c r="A891" s="239" t="s">
        <v>98</v>
      </c>
      <c r="B891" s="247" t="s">
        <v>402</v>
      </c>
      <c r="C891" s="247" t="s">
        <v>20</v>
      </c>
      <c r="D891" s="247" t="s">
        <v>49</v>
      </c>
      <c r="E891" s="227" t="s">
        <v>82</v>
      </c>
      <c r="F891" s="227" t="s">
        <v>70</v>
      </c>
      <c r="G891" s="227" t="s">
        <v>148</v>
      </c>
      <c r="H891" s="247" t="s">
        <v>241</v>
      </c>
      <c r="I891" s="248" t="s">
        <v>95</v>
      </c>
      <c r="J891" s="238"/>
      <c r="K891" s="238"/>
      <c r="L891" s="238"/>
      <c r="M891" s="238"/>
      <c r="N891" s="238"/>
      <c r="O891" s="238"/>
      <c r="P891" s="238">
        <v>115000</v>
      </c>
      <c r="Q891" s="238">
        <f t="shared" ref="Q891:R894" si="1021">K891+N891</f>
        <v>0</v>
      </c>
      <c r="R891" s="238">
        <f t="shared" si="1021"/>
        <v>0</v>
      </c>
      <c r="S891" s="238"/>
      <c r="T891" s="238"/>
      <c r="U891" s="238"/>
      <c r="V891" s="238">
        <f t="shared" si="1016"/>
        <v>115000</v>
      </c>
      <c r="W891" s="238">
        <f t="shared" si="1016"/>
        <v>0</v>
      </c>
      <c r="X891" s="238">
        <f t="shared" si="1016"/>
        <v>0</v>
      </c>
    </row>
    <row r="892" spans="1:24" s="229" customFormat="1" ht="51" hidden="1">
      <c r="A892" s="241" t="s">
        <v>307</v>
      </c>
      <c r="B892" s="247" t="s">
        <v>402</v>
      </c>
      <c r="C892" s="247" t="s">
        <v>20</v>
      </c>
      <c r="D892" s="247" t="s">
        <v>49</v>
      </c>
      <c r="E892" s="227" t="s">
        <v>82</v>
      </c>
      <c r="F892" s="227" t="s">
        <v>70</v>
      </c>
      <c r="G892" s="227" t="s">
        <v>148</v>
      </c>
      <c r="H892" s="247" t="s">
        <v>306</v>
      </c>
      <c r="I892" s="248"/>
      <c r="J892" s="238"/>
      <c r="K892" s="238"/>
      <c r="L892" s="238"/>
      <c r="M892" s="238"/>
      <c r="N892" s="238"/>
      <c r="O892" s="238"/>
      <c r="P892" s="238">
        <f>P893</f>
        <v>1715600</v>
      </c>
      <c r="Q892" s="238">
        <f t="shared" ref="Q892:U893" si="1022">Q893</f>
        <v>0</v>
      </c>
      <c r="R892" s="238">
        <f t="shared" si="1022"/>
        <v>0</v>
      </c>
      <c r="S892" s="238">
        <f t="shared" si="1022"/>
        <v>0</v>
      </c>
      <c r="T892" s="238">
        <f t="shared" si="1022"/>
        <v>0</v>
      </c>
      <c r="U892" s="238">
        <f t="shared" si="1022"/>
        <v>0</v>
      </c>
      <c r="V892" s="238">
        <f t="shared" si="1016"/>
        <v>1715600</v>
      </c>
      <c r="W892" s="238">
        <f t="shared" si="1016"/>
        <v>0</v>
      </c>
      <c r="X892" s="238">
        <f t="shared" si="1016"/>
        <v>0</v>
      </c>
    </row>
    <row r="893" spans="1:24" s="229" customFormat="1" hidden="1">
      <c r="A893" s="235" t="s">
        <v>100</v>
      </c>
      <c r="B893" s="247" t="s">
        <v>402</v>
      </c>
      <c r="C893" s="247" t="s">
        <v>20</v>
      </c>
      <c r="D893" s="247" t="s">
        <v>49</v>
      </c>
      <c r="E893" s="227" t="s">
        <v>82</v>
      </c>
      <c r="F893" s="227" t="s">
        <v>70</v>
      </c>
      <c r="G893" s="227" t="s">
        <v>148</v>
      </c>
      <c r="H893" s="247" t="s">
        <v>306</v>
      </c>
      <c r="I893" s="248" t="s">
        <v>99</v>
      </c>
      <c r="J893" s="238"/>
      <c r="K893" s="238"/>
      <c r="L893" s="238"/>
      <c r="M893" s="238"/>
      <c r="N893" s="238"/>
      <c r="O893" s="238"/>
      <c r="P893" s="238">
        <f>P894</f>
        <v>1715600</v>
      </c>
      <c r="Q893" s="238">
        <f t="shared" si="1022"/>
        <v>0</v>
      </c>
      <c r="R893" s="238">
        <f t="shared" si="1022"/>
        <v>0</v>
      </c>
      <c r="S893" s="238">
        <f t="shared" si="1022"/>
        <v>0</v>
      </c>
      <c r="T893" s="238">
        <f t="shared" si="1022"/>
        <v>0</v>
      </c>
      <c r="U893" s="238">
        <f t="shared" si="1022"/>
        <v>0</v>
      </c>
      <c r="V893" s="238">
        <f t="shared" si="1016"/>
        <v>1715600</v>
      </c>
      <c r="W893" s="238">
        <f t="shared" si="1016"/>
        <v>0</v>
      </c>
      <c r="X893" s="238">
        <f t="shared" si="1016"/>
        <v>0</v>
      </c>
    </row>
    <row r="894" spans="1:24" s="229" customFormat="1" ht="25.5" hidden="1">
      <c r="A894" s="235" t="s">
        <v>106</v>
      </c>
      <c r="B894" s="247" t="s">
        <v>402</v>
      </c>
      <c r="C894" s="247" t="s">
        <v>20</v>
      </c>
      <c r="D894" s="247" t="s">
        <v>49</v>
      </c>
      <c r="E894" s="227" t="s">
        <v>82</v>
      </c>
      <c r="F894" s="227" t="s">
        <v>70</v>
      </c>
      <c r="G894" s="227" t="s">
        <v>148</v>
      </c>
      <c r="H894" s="247" t="s">
        <v>306</v>
      </c>
      <c r="I894" s="248" t="s">
        <v>107</v>
      </c>
      <c r="J894" s="238"/>
      <c r="K894" s="238"/>
      <c r="L894" s="238"/>
      <c r="M894" s="238"/>
      <c r="N894" s="238"/>
      <c r="O894" s="238"/>
      <c r="P894" s="238">
        <v>1715600</v>
      </c>
      <c r="Q894" s="238">
        <f t="shared" si="1021"/>
        <v>0</v>
      </c>
      <c r="R894" s="238">
        <f t="shared" si="1021"/>
        <v>0</v>
      </c>
      <c r="S894" s="238"/>
      <c r="T894" s="238"/>
      <c r="U894" s="238"/>
      <c r="V894" s="238">
        <f t="shared" si="1016"/>
        <v>1715600</v>
      </c>
      <c r="W894" s="238">
        <f t="shared" si="1016"/>
        <v>0</v>
      </c>
      <c r="X894" s="238">
        <f t="shared" si="1016"/>
        <v>0</v>
      </c>
    </row>
    <row r="895" spans="1:24" s="229" customFormat="1" ht="15.75" hidden="1">
      <c r="A895" s="249" t="s">
        <v>54</v>
      </c>
      <c r="B895" s="226" t="s">
        <v>402</v>
      </c>
      <c r="C895" s="226" t="s">
        <v>17</v>
      </c>
      <c r="D895" s="227"/>
      <c r="E895" s="227"/>
      <c r="F895" s="227"/>
      <c r="G895" s="227"/>
      <c r="H895" s="227"/>
      <c r="I895" s="237"/>
      <c r="J895" s="228"/>
      <c r="K895" s="228"/>
      <c r="L895" s="228"/>
      <c r="M895" s="228"/>
      <c r="N895" s="228"/>
      <c r="O895" s="228"/>
      <c r="P895" s="228">
        <f>P896</f>
        <v>0</v>
      </c>
      <c r="Q895" s="228">
        <f t="shared" ref="Q895:U897" si="1023">Q896</f>
        <v>662861.15999999992</v>
      </c>
      <c r="R895" s="228">
        <f t="shared" si="1023"/>
        <v>687133.53</v>
      </c>
      <c r="S895" s="228">
        <f t="shared" si="1023"/>
        <v>0</v>
      </c>
      <c r="T895" s="228">
        <f t="shared" si="1023"/>
        <v>0</v>
      </c>
      <c r="U895" s="228">
        <f t="shared" si="1023"/>
        <v>0</v>
      </c>
      <c r="V895" s="228">
        <f t="shared" si="1016"/>
        <v>0</v>
      </c>
      <c r="W895" s="228">
        <f t="shared" si="1016"/>
        <v>662861.15999999992</v>
      </c>
      <c r="X895" s="228">
        <f t="shared" si="1016"/>
        <v>687133.53</v>
      </c>
    </row>
    <row r="896" spans="1:24" s="229" customFormat="1" hidden="1">
      <c r="A896" s="250" t="s">
        <v>55</v>
      </c>
      <c r="B896" s="232" t="s">
        <v>402</v>
      </c>
      <c r="C896" s="232" t="s">
        <v>17</v>
      </c>
      <c r="D896" s="232" t="s">
        <v>13</v>
      </c>
      <c r="E896" s="232"/>
      <c r="F896" s="232"/>
      <c r="G896" s="232"/>
      <c r="H896" s="232"/>
      <c r="I896" s="233"/>
      <c r="J896" s="234"/>
      <c r="K896" s="234"/>
      <c r="L896" s="234"/>
      <c r="M896" s="234"/>
      <c r="N896" s="234"/>
      <c r="O896" s="234"/>
      <c r="P896" s="234">
        <f>P897</f>
        <v>0</v>
      </c>
      <c r="Q896" s="234">
        <f t="shared" si="1023"/>
        <v>662861.15999999992</v>
      </c>
      <c r="R896" s="234">
        <f t="shared" si="1023"/>
        <v>687133.53</v>
      </c>
      <c r="S896" s="234">
        <f t="shared" si="1023"/>
        <v>0</v>
      </c>
      <c r="T896" s="234">
        <f t="shared" si="1023"/>
        <v>0</v>
      </c>
      <c r="U896" s="234">
        <f t="shared" si="1023"/>
        <v>0</v>
      </c>
      <c r="V896" s="234">
        <f t="shared" si="1016"/>
        <v>0</v>
      </c>
      <c r="W896" s="234">
        <f t="shared" si="1016"/>
        <v>662861.15999999992</v>
      </c>
      <c r="X896" s="234">
        <f t="shared" si="1016"/>
        <v>687133.53</v>
      </c>
    </row>
    <row r="897" spans="1:24" s="229" customFormat="1" hidden="1">
      <c r="A897" s="235" t="s">
        <v>83</v>
      </c>
      <c r="B897" s="247" t="s">
        <v>402</v>
      </c>
      <c r="C897" s="227" t="s">
        <v>17</v>
      </c>
      <c r="D897" s="227" t="s">
        <v>13</v>
      </c>
      <c r="E897" s="227" t="s">
        <v>82</v>
      </c>
      <c r="F897" s="227" t="s">
        <v>70</v>
      </c>
      <c r="G897" s="227" t="s">
        <v>148</v>
      </c>
      <c r="H897" s="227" t="s">
        <v>149</v>
      </c>
      <c r="I897" s="237"/>
      <c r="J897" s="244"/>
      <c r="K897" s="244"/>
      <c r="L897" s="244"/>
      <c r="M897" s="244"/>
      <c r="N897" s="244"/>
      <c r="O897" s="244"/>
      <c r="P897" s="244">
        <f>P898</f>
        <v>0</v>
      </c>
      <c r="Q897" s="244">
        <f t="shared" si="1023"/>
        <v>662861.15999999992</v>
      </c>
      <c r="R897" s="244">
        <f t="shared" si="1023"/>
        <v>687133.53</v>
      </c>
      <c r="S897" s="244">
        <f t="shared" si="1023"/>
        <v>0</v>
      </c>
      <c r="T897" s="244">
        <f t="shared" si="1023"/>
        <v>0</v>
      </c>
      <c r="U897" s="244">
        <f t="shared" si="1023"/>
        <v>0</v>
      </c>
      <c r="V897" s="244">
        <f t="shared" si="1016"/>
        <v>0</v>
      </c>
      <c r="W897" s="244">
        <f t="shared" si="1016"/>
        <v>662861.15999999992</v>
      </c>
      <c r="X897" s="244">
        <f t="shared" si="1016"/>
        <v>687133.53</v>
      </c>
    </row>
    <row r="898" spans="1:24" s="229" customFormat="1" ht="25.5" hidden="1">
      <c r="A898" s="235" t="s">
        <v>304</v>
      </c>
      <c r="B898" s="247" t="s">
        <v>402</v>
      </c>
      <c r="C898" s="227" t="s">
        <v>17</v>
      </c>
      <c r="D898" s="227" t="s">
        <v>13</v>
      </c>
      <c r="E898" s="227" t="s">
        <v>82</v>
      </c>
      <c r="F898" s="227" t="s">
        <v>70</v>
      </c>
      <c r="G898" s="227" t="s">
        <v>148</v>
      </c>
      <c r="H898" s="227" t="s">
        <v>305</v>
      </c>
      <c r="I898" s="237"/>
      <c r="J898" s="244"/>
      <c r="K898" s="244"/>
      <c r="L898" s="244"/>
      <c r="M898" s="244"/>
      <c r="N898" s="244"/>
      <c r="O898" s="244"/>
      <c r="P898" s="244">
        <f>P899+P901</f>
        <v>0</v>
      </c>
      <c r="Q898" s="244">
        <f t="shared" ref="Q898:U898" si="1024">Q899+Q901</f>
        <v>662861.15999999992</v>
      </c>
      <c r="R898" s="244">
        <f t="shared" si="1024"/>
        <v>687133.53</v>
      </c>
      <c r="S898" s="244">
        <f t="shared" si="1024"/>
        <v>0</v>
      </c>
      <c r="T898" s="244">
        <f t="shared" si="1024"/>
        <v>0</v>
      </c>
      <c r="U898" s="244">
        <f t="shared" si="1024"/>
        <v>0</v>
      </c>
      <c r="V898" s="244">
        <f t="shared" si="1016"/>
        <v>0</v>
      </c>
      <c r="W898" s="244">
        <f t="shared" si="1016"/>
        <v>662861.15999999992</v>
      </c>
      <c r="X898" s="244">
        <f t="shared" si="1016"/>
        <v>687133.53</v>
      </c>
    </row>
    <row r="899" spans="1:24" s="229" customFormat="1" ht="38.25" hidden="1">
      <c r="A899" s="239" t="s">
        <v>96</v>
      </c>
      <c r="B899" s="247" t="s">
        <v>402</v>
      </c>
      <c r="C899" s="227" t="s">
        <v>17</v>
      </c>
      <c r="D899" s="227" t="s">
        <v>13</v>
      </c>
      <c r="E899" s="227" t="s">
        <v>82</v>
      </c>
      <c r="F899" s="227" t="s">
        <v>70</v>
      </c>
      <c r="G899" s="227" t="s">
        <v>148</v>
      </c>
      <c r="H899" s="227" t="s">
        <v>305</v>
      </c>
      <c r="I899" s="237" t="s">
        <v>92</v>
      </c>
      <c r="J899" s="244"/>
      <c r="K899" s="244"/>
      <c r="L899" s="244"/>
      <c r="M899" s="244"/>
      <c r="N899" s="244"/>
      <c r="O899" s="244"/>
      <c r="P899" s="244">
        <f>P900</f>
        <v>0</v>
      </c>
      <c r="Q899" s="244">
        <f t="shared" ref="Q899:U899" si="1025">Q900</f>
        <v>635542.59</v>
      </c>
      <c r="R899" s="244">
        <f t="shared" si="1025"/>
        <v>640928.36</v>
      </c>
      <c r="S899" s="244">
        <f t="shared" si="1025"/>
        <v>0</v>
      </c>
      <c r="T899" s="244">
        <f t="shared" si="1025"/>
        <v>0</v>
      </c>
      <c r="U899" s="244">
        <f t="shared" si="1025"/>
        <v>0</v>
      </c>
      <c r="V899" s="244">
        <f t="shared" si="1016"/>
        <v>0</v>
      </c>
      <c r="W899" s="244">
        <f t="shared" si="1016"/>
        <v>635542.59</v>
      </c>
      <c r="X899" s="244">
        <f t="shared" si="1016"/>
        <v>640928.36</v>
      </c>
    </row>
    <row r="900" spans="1:24" s="229" customFormat="1" hidden="1">
      <c r="A900" s="239" t="s">
        <v>103</v>
      </c>
      <c r="B900" s="247" t="s">
        <v>402</v>
      </c>
      <c r="C900" s="227" t="s">
        <v>17</v>
      </c>
      <c r="D900" s="227" t="s">
        <v>13</v>
      </c>
      <c r="E900" s="227" t="s">
        <v>82</v>
      </c>
      <c r="F900" s="227" t="s">
        <v>70</v>
      </c>
      <c r="G900" s="227" t="s">
        <v>148</v>
      </c>
      <c r="H900" s="227" t="s">
        <v>305</v>
      </c>
      <c r="I900" s="237" t="s">
        <v>102</v>
      </c>
      <c r="J900" s="244"/>
      <c r="K900" s="244"/>
      <c r="L900" s="244"/>
      <c r="M900" s="244"/>
      <c r="N900" s="244"/>
      <c r="O900" s="244"/>
      <c r="P900" s="244"/>
      <c r="Q900" s="244">
        <v>635542.59</v>
      </c>
      <c r="R900" s="244">
        <v>640928.36</v>
      </c>
      <c r="S900" s="244"/>
      <c r="T900" s="244">
        <f>T1523+T1591+T1646+T1706+T1772+T1824+T1886+T1934+T1984</f>
        <v>0</v>
      </c>
      <c r="U900" s="244">
        <f>U1523+U1591+U1646+U1706+U1772+U1824+U1886+U1934+U1984</f>
        <v>0</v>
      </c>
      <c r="V900" s="244">
        <f t="shared" si="1016"/>
        <v>0</v>
      </c>
      <c r="W900" s="244">
        <f t="shared" si="1016"/>
        <v>635542.59</v>
      </c>
      <c r="X900" s="244">
        <f t="shared" si="1016"/>
        <v>640928.36</v>
      </c>
    </row>
    <row r="901" spans="1:24" s="229" customFormat="1" ht="25.5" hidden="1">
      <c r="A901" s="240" t="s">
        <v>260</v>
      </c>
      <c r="B901" s="247" t="s">
        <v>402</v>
      </c>
      <c r="C901" s="227" t="s">
        <v>17</v>
      </c>
      <c r="D901" s="227" t="s">
        <v>13</v>
      </c>
      <c r="E901" s="227" t="s">
        <v>82</v>
      </c>
      <c r="F901" s="227" t="s">
        <v>70</v>
      </c>
      <c r="G901" s="227" t="s">
        <v>148</v>
      </c>
      <c r="H901" s="227" t="s">
        <v>305</v>
      </c>
      <c r="I901" s="237" t="s">
        <v>94</v>
      </c>
      <c r="J901" s="244"/>
      <c r="K901" s="244"/>
      <c r="L901" s="244"/>
      <c r="M901" s="244"/>
      <c r="N901" s="244"/>
      <c r="O901" s="244"/>
      <c r="P901" s="244">
        <f>P902</f>
        <v>0</v>
      </c>
      <c r="Q901" s="244">
        <f t="shared" ref="Q901:U901" si="1026">Q902</f>
        <v>27318.57</v>
      </c>
      <c r="R901" s="244">
        <f t="shared" si="1026"/>
        <v>46205.17</v>
      </c>
      <c r="S901" s="244">
        <f t="shared" si="1026"/>
        <v>0</v>
      </c>
      <c r="T901" s="244">
        <f t="shared" si="1026"/>
        <v>0</v>
      </c>
      <c r="U901" s="244">
        <f t="shared" si="1026"/>
        <v>0</v>
      </c>
      <c r="V901" s="244">
        <f t="shared" si="1016"/>
        <v>0</v>
      </c>
      <c r="W901" s="244">
        <f t="shared" si="1016"/>
        <v>27318.57</v>
      </c>
      <c r="X901" s="244">
        <f t="shared" si="1016"/>
        <v>46205.17</v>
      </c>
    </row>
    <row r="902" spans="1:24" s="229" customFormat="1" ht="25.5" hidden="1">
      <c r="A902" s="239" t="s">
        <v>98</v>
      </c>
      <c r="B902" s="247" t="s">
        <v>402</v>
      </c>
      <c r="C902" s="227" t="s">
        <v>17</v>
      </c>
      <c r="D902" s="227" t="s">
        <v>13</v>
      </c>
      <c r="E902" s="227" t="s">
        <v>82</v>
      </c>
      <c r="F902" s="227" t="s">
        <v>70</v>
      </c>
      <c r="G902" s="227" t="s">
        <v>148</v>
      </c>
      <c r="H902" s="227" t="s">
        <v>305</v>
      </c>
      <c r="I902" s="237" t="s">
        <v>95</v>
      </c>
      <c r="J902" s="244"/>
      <c r="K902" s="244"/>
      <c r="L902" s="244"/>
      <c r="M902" s="244"/>
      <c r="N902" s="244"/>
      <c r="O902" s="244"/>
      <c r="P902" s="244"/>
      <c r="Q902" s="244">
        <v>27318.57</v>
      </c>
      <c r="R902" s="244">
        <v>46205.17</v>
      </c>
      <c r="S902" s="244"/>
      <c r="T902" s="244">
        <f>T1525+T1593+T1648+T1708+T1774+T1826+T1888+T1936+T1986</f>
        <v>0</v>
      </c>
      <c r="U902" s="244">
        <f>U1525+U1593+U1648+U1708+U1774+U1826+U1888+U1936+U1986</f>
        <v>0</v>
      </c>
      <c r="V902" s="244">
        <f t="shared" si="1016"/>
        <v>0</v>
      </c>
      <c r="W902" s="244">
        <f t="shared" si="1016"/>
        <v>27318.57</v>
      </c>
      <c r="X902" s="244">
        <f t="shared" si="1016"/>
        <v>46205.17</v>
      </c>
    </row>
    <row r="903" spans="1:24" s="255" customFormat="1" ht="31.5" hidden="1">
      <c r="A903" s="249" t="s">
        <v>26</v>
      </c>
      <c r="B903" s="251" t="s">
        <v>402</v>
      </c>
      <c r="C903" s="251" t="s">
        <v>13</v>
      </c>
      <c r="D903" s="252"/>
      <c r="E903" s="252"/>
      <c r="F903" s="252"/>
      <c r="G903" s="252"/>
      <c r="H903" s="252"/>
      <c r="I903" s="253"/>
      <c r="J903" s="254"/>
      <c r="K903" s="254"/>
      <c r="L903" s="254"/>
      <c r="M903" s="254"/>
      <c r="N903" s="254"/>
      <c r="O903" s="254"/>
      <c r="P903" s="254">
        <f t="shared" ref="P903:U903" si="1027">P904+P921</f>
        <v>2592000</v>
      </c>
      <c r="Q903" s="254">
        <f t="shared" si="1027"/>
        <v>3565000</v>
      </c>
      <c r="R903" s="254">
        <f t="shared" si="1027"/>
        <v>2265000.0099999998</v>
      </c>
      <c r="S903" s="254">
        <f t="shared" si="1027"/>
        <v>0</v>
      </c>
      <c r="T903" s="254">
        <f t="shared" si="1027"/>
        <v>0</v>
      </c>
      <c r="U903" s="254">
        <f t="shared" si="1027"/>
        <v>0</v>
      </c>
      <c r="V903" s="254">
        <f t="shared" si="1016"/>
        <v>2592000</v>
      </c>
      <c r="W903" s="254">
        <f t="shared" si="1016"/>
        <v>3565000</v>
      </c>
      <c r="X903" s="254">
        <f t="shared" si="1016"/>
        <v>2265000.0099999998</v>
      </c>
    </row>
    <row r="904" spans="1:24" s="229" customFormat="1" ht="38.25" hidden="1">
      <c r="A904" s="256" t="s">
        <v>230</v>
      </c>
      <c r="B904" s="257" t="s">
        <v>402</v>
      </c>
      <c r="C904" s="257" t="s">
        <v>13</v>
      </c>
      <c r="D904" s="257" t="s">
        <v>30</v>
      </c>
      <c r="E904" s="257"/>
      <c r="F904" s="257"/>
      <c r="G904" s="257"/>
      <c r="H904" s="257"/>
      <c r="I904" s="258"/>
      <c r="J904" s="259"/>
      <c r="K904" s="259"/>
      <c r="L904" s="259"/>
      <c r="M904" s="259"/>
      <c r="N904" s="259"/>
      <c r="O904" s="259"/>
      <c r="P904" s="259">
        <f>P905</f>
        <v>2522000</v>
      </c>
      <c r="Q904" s="259">
        <f t="shared" ref="Q904:U904" si="1028">Q905</f>
        <v>3495000</v>
      </c>
      <c r="R904" s="259">
        <f t="shared" si="1028"/>
        <v>2195000.0099999998</v>
      </c>
      <c r="S904" s="259">
        <f t="shared" si="1028"/>
        <v>0</v>
      </c>
      <c r="T904" s="259">
        <f t="shared" si="1028"/>
        <v>0</v>
      </c>
      <c r="U904" s="259">
        <f t="shared" si="1028"/>
        <v>0</v>
      </c>
      <c r="V904" s="259">
        <f t="shared" si="1016"/>
        <v>2522000</v>
      </c>
      <c r="W904" s="259">
        <f t="shared" si="1016"/>
        <v>3495000</v>
      </c>
      <c r="X904" s="259">
        <f t="shared" si="1016"/>
        <v>2195000.0099999998</v>
      </c>
    </row>
    <row r="905" spans="1:24" s="229" customFormat="1" hidden="1">
      <c r="A905" s="260" t="s">
        <v>290</v>
      </c>
      <c r="B905" s="261" t="s">
        <v>402</v>
      </c>
      <c r="C905" s="261" t="s">
        <v>13</v>
      </c>
      <c r="D905" s="261" t="s">
        <v>30</v>
      </c>
      <c r="E905" s="261" t="s">
        <v>214</v>
      </c>
      <c r="F905" s="261" t="s">
        <v>70</v>
      </c>
      <c r="G905" s="261" t="s">
        <v>148</v>
      </c>
      <c r="H905" s="261" t="s">
        <v>149</v>
      </c>
      <c r="I905" s="262"/>
      <c r="J905" s="263"/>
      <c r="K905" s="263"/>
      <c r="L905" s="263"/>
      <c r="M905" s="263"/>
      <c r="N905" s="263"/>
      <c r="O905" s="263"/>
      <c r="P905" s="263">
        <f>P906+P909+P912+P915+P918</f>
        <v>2522000</v>
      </c>
      <c r="Q905" s="263">
        <f t="shared" ref="Q905:U905" si="1029">Q906+Q909+Q912+Q915+Q918</f>
        <v>3495000</v>
      </c>
      <c r="R905" s="263">
        <f t="shared" si="1029"/>
        <v>2195000.0099999998</v>
      </c>
      <c r="S905" s="263">
        <f t="shared" si="1029"/>
        <v>0</v>
      </c>
      <c r="T905" s="263">
        <f t="shared" si="1029"/>
        <v>0</v>
      </c>
      <c r="U905" s="263">
        <f t="shared" si="1029"/>
        <v>0</v>
      </c>
      <c r="V905" s="263">
        <f t="shared" si="1016"/>
        <v>2522000</v>
      </c>
      <c r="W905" s="263">
        <f t="shared" si="1016"/>
        <v>3495000</v>
      </c>
      <c r="X905" s="263">
        <f t="shared" si="1016"/>
        <v>2195000.0099999998</v>
      </c>
    </row>
    <row r="906" spans="1:24" s="229" customFormat="1" ht="25.5" hidden="1">
      <c r="A906" s="260" t="s">
        <v>334</v>
      </c>
      <c r="B906" s="261" t="s">
        <v>402</v>
      </c>
      <c r="C906" s="261" t="s">
        <v>13</v>
      </c>
      <c r="D906" s="261" t="s">
        <v>30</v>
      </c>
      <c r="E906" s="261" t="s">
        <v>214</v>
      </c>
      <c r="F906" s="261" t="s">
        <v>70</v>
      </c>
      <c r="G906" s="261" t="s">
        <v>148</v>
      </c>
      <c r="H906" s="261" t="s">
        <v>333</v>
      </c>
      <c r="I906" s="262"/>
      <c r="J906" s="263"/>
      <c r="K906" s="263"/>
      <c r="L906" s="263"/>
      <c r="M906" s="263"/>
      <c r="N906" s="263"/>
      <c r="O906" s="263"/>
      <c r="P906" s="263">
        <f>P907</f>
        <v>300000</v>
      </c>
      <c r="Q906" s="263">
        <f t="shared" ref="Q906:U907" si="1030">Q907</f>
        <v>300000</v>
      </c>
      <c r="R906" s="263">
        <f t="shared" si="1030"/>
        <v>300000</v>
      </c>
      <c r="S906" s="263">
        <f t="shared" si="1030"/>
        <v>0</v>
      </c>
      <c r="T906" s="263">
        <f t="shared" si="1030"/>
        <v>0</v>
      </c>
      <c r="U906" s="263">
        <f t="shared" si="1030"/>
        <v>0</v>
      </c>
      <c r="V906" s="263">
        <f t="shared" si="1016"/>
        <v>300000</v>
      </c>
      <c r="W906" s="263">
        <f t="shared" si="1016"/>
        <v>300000</v>
      </c>
      <c r="X906" s="263">
        <f t="shared" si="1016"/>
        <v>300000</v>
      </c>
    </row>
    <row r="907" spans="1:24" s="229" customFormat="1" ht="25.5" hidden="1">
      <c r="A907" s="240" t="s">
        <v>260</v>
      </c>
      <c r="B907" s="261" t="s">
        <v>402</v>
      </c>
      <c r="C907" s="261" t="s">
        <v>13</v>
      </c>
      <c r="D907" s="261" t="s">
        <v>30</v>
      </c>
      <c r="E907" s="261" t="s">
        <v>214</v>
      </c>
      <c r="F907" s="261" t="s">
        <v>70</v>
      </c>
      <c r="G907" s="261" t="s">
        <v>148</v>
      </c>
      <c r="H907" s="261" t="s">
        <v>333</v>
      </c>
      <c r="I907" s="262" t="s">
        <v>94</v>
      </c>
      <c r="J907" s="263"/>
      <c r="K907" s="263"/>
      <c r="L907" s="263"/>
      <c r="M907" s="263"/>
      <c r="N907" s="263"/>
      <c r="O907" s="263"/>
      <c r="P907" s="263">
        <f>P908</f>
        <v>300000</v>
      </c>
      <c r="Q907" s="263">
        <f t="shared" si="1030"/>
        <v>300000</v>
      </c>
      <c r="R907" s="263">
        <f t="shared" si="1030"/>
        <v>300000</v>
      </c>
      <c r="S907" s="263">
        <f t="shared" si="1030"/>
        <v>0</v>
      </c>
      <c r="T907" s="263">
        <f t="shared" si="1030"/>
        <v>0</v>
      </c>
      <c r="U907" s="263">
        <f t="shared" si="1030"/>
        <v>0</v>
      </c>
      <c r="V907" s="263">
        <f t="shared" si="1016"/>
        <v>300000</v>
      </c>
      <c r="W907" s="263">
        <f t="shared" si="1016"/>
        <v>300000</v>
      </c>
      <c r="X907" s="263">
        <f t="shared" si="1016"/>
        <v>300000</v>
      </c>
    </row>
    <row r="908" spans="1:24" s="229" customFormat="1" ht="25.5" hidden="1">
      <c r="A908" s="239" t="s">
        <v>98</v>
      </c>
      <c r="B908" s="261" t="s">
        <v>402</v>
      </c>
      <c r="C908" s="261" t="s">
        <v>13</v>
      </c>
      <c r="D908" s="261" t="s">
        <v>30</v>
      </c>
      <c r="E908" s="261" t="s">
        <v>214</v>
      </c>
      <c r="F908" s="261" t="s">
        <v>70</v>
      </c>
      <c r="G908" s="261" t="s">
        <v>148</v>
      </c>
      <c r="H908" s="261" t="s">
        <v>333</v>
      </c>
      <c r="I908" s="262" t="s">
        <v>95</v>
      </c>
      <c r="J908" s="263"/>
      <c r="K908" s="263"/>
      <c r="L908" s="263"/>
      <c r="M908" s="263"/>
      <c r="N908" s="263"/>
      <c r="O908" s="263"/>
      <c r="P908" s="263">
        <v>300000</v>
      </c>
      <c r="Q908" s="263">
        <v>300000</v>
      </c>
      <c r="R908" s="263">
        <v>300000</v>
      </c>
      <c r="S908" s="263"/>
      <c r="T908" s="263"/>
      <c r="U908" s="263"/>
      <c r="V908" s="263">
        <f t="shared" si="1016"/>
        <v>300000</v>
      </c>
      <c r="W908" s="263">
        <f t="shared" si="1016"/>
        <v>300000</v>
      </c>
      <c r="X908" s="263">
        <f t="shared" si="1016"/>
        <v>300000</v>
      </c>
    </row>
    <row r="909" spans="1:24" s="229" customFormat="1" hidden="1">
      <c r="A909" s="241" t="s">
        <v>336</v>
      </c>
      <c r="B909" s="261" t="s">
        <v>402</v>
      </c>
      <c r="C909" s="261" t="s">
        <v>13</v>
      </c>
      <c r="D909" s="261" t="s">
        <v>30</v>
      </c>
      <c r="E909" s="261" t="s">
        <v>214</v>
      </c>
      <c r="F909" s="261" t="s">
        <v>70</v>
      </c>
      <c r="G909" s="261" t="s">
        <v>148</v>
      </c>
      <c r="H909" s="261" t="s">
        <v>335</v>
      </c>
      <c r="I909" s="262"/>
      <c r="J909" s="263"/>
      <c r="K909" s="263"/>
      <c r="L909" s="263"/>
      <c r="M909" s="263"/>
      <c r="N909" s="263"/>
      <c r="O909" s="263"/>
      <c r="P909" s="263">
        <f>P910</f>
        <v>1827000</v>
      </c>
      <c r="Q909" s="263">
        <f t="shared" ref="Q909:U910" si="1031">Q910</f>
        <v>2800000</v>
      </c>
      <c r="R909" s="263">
        <f t="shared" si="1031"/>
        <v>1500000.01</v>
      </c>
      <c r="S909" s="263">
        <f t="shared" si="1031"/>
        <v>0</v>
      </c>
      <c r="T909" s="263">
        <f t="shared" si="1031"/>
        <v>0</v>
      </c>
      <c r="U909" s="263">
        <f t="shared" si="1031"/>
        <v>0</v>
      </c>
      <c r="V909" s="263">
        <f t="shared" ref="V909:X926" si="1032">P909+S909</f>
        <v>1827000</v>
      </c>
      <c r="W909" s="263">
        <f t="shared" si="1032"/>
        <v>2800000</v>
      </c>
      <c r="X909" s="263">
        <f t="shared" si="1032"/>
        <v>1500000.01</v>
      </c>
    </row>
    <row r="910" spans="1:24" s="229" customFormat="1" ht="25.5" hidden="1">
      <c r="A910" s="240" t="s">
        <v>260</v>
      </c>
      <c r="B910" s="261" t="s">
        <v>402</v>
      </c>
      <c r="C910" s="261" t="s">
        <v>13</v>
      </c>
      <c r="D910" s="261" t="s">
        <v>30</v>
      </c>
      <c r="E910" s="261" t="s">
        <v>214</v>
      </c>
      <c r="F910" s="261" t="s">
        <v>70</v>
      </c>
      <c r="G910" s="261" t="s">
        <v>148</v>
      </c>
      <c r="H910" s="261" t="s">
        <v>335</v>
      </c>
      <c r="I910" s="262" t="s">
        <v>94</v>
      </c>
      <c r="J910" s="263"/>
      <c r="K910" s="263"/>
      <c r="L910" s="263"/>
      <c r="M910" s="263"/>
      <c r="N910" s="263"/>
      <c r="O910" s="263"/>
      <c r="P910" s="263">
        <f>P911</f>
        <v>1827000</v>
      </c>
      <c r="Q910" s="263">
        <f t="shared" si="1031"/>
        <v>2800000</v>
      </c>
      <c r="R910" s="263">
        <f t="shared" si="1031"/>
        <v>1500000.01</v>
      </c>
      <c r="S910" s="263">
        <f t="shared" si="1031"/>
        <v>0</v>
      </c>
      <c r="T910" s="263">
        <f t="shared" si="1031"/>
        <v>0</v>
      </c>
      <c r="U910" s="263">
        <f t="shared" si="1031"/>
        <v>0</v>
      </c>
      <c r="V910" s="263">
        <f t="shared" si="1032"/>
        <v>1827000</v>
      </c>
      <c r="W910" s="263">
        <f t="shared" si="1032"/>
        <v>2800000</v>
      </c>
      <c r="X910" s="263">
        <f t="shared" si="1032"/>
        <v>1500000.01</v>
      </c>
    </row>
    <row r="911" spans="1:24" s="229" customFormat="1" ht="25.5" hidden="1">
      <c r="A911" s="239" t="s">
        <v>98</v>
      </c>
      <c r="B911" s="261" t="s">
        <v>402</v>
      </c>
      <c r="C911" s="261" t="s">
        <v>13</v>
      </c>
      <c r="D911" s="261" t="s">
        <v>30</v>
      </c>
      <c r="E911" s="261" t="s">
        <v>214</v>
      </c>
      <c r="F911" s="261" t="s">
        <v>70</v>
      </c>
      <c r="G911" s="261" t="s">
        <v>148</v>
      </c>
      <c r="H911" s="261" t="s">
        <v>335</v>
      </c>
      <c r="I911" s="262" t="s">
        <v>95</v>
      </c>
      <c r="J911" s="263"/>
      <c r="K911" s="263"/>
      <c r="L911" s="263"/>
      <c r="M911" s="263"/>
      <c r="N911" s="263"/>
      <c r="O911" s="263"/>
      <c r="P911" s="263">
        <v>1827000</v>
      </c>
      <c r="Q911" s="263">
        <v>2800000</v>
      </c>
      <c r="R911" s="263">
        <v>1500000.01</v>
      </c>
      <c r="S911" s="263"/>
      <c r="T911" s="263"/>
      <c r="U911" s="263"/>
      <c r="V911" s="263">
        <f t="shared" si="1032"/>
        <v>1827000</v>
      </c>
      <c r="W911" s="263">
        <f t="shared" si="1032"/>
        <v>2800000</v>
      </c>
      <c r="X911" s="263">
        <f t="shared" si="1032"/>
        <v>1500000.01</v>
      </c>
    </row>
    <row r="912" spans="1:24" s="229" customFormat="1" ht="25.5" hidden="1">
      <c r="A912" s="260" t="s">
        <v>337</v>
      </c>
      <c r="B912" s="261" t="s">
        <v>402</v>
      </c>
      <c r="C912" s="261" t="s">
        <v>13</v>
      </c>
      <c r="D912" s="261" t="s">
        <v>30</v>
      </c>
      <c r="E912" s="261" t="s">
        <v>214</v>
      </c>
      <c r="F912" s="261" t="s">
        <v>70</v>
      </c>
      <c r="G912" s="261" t="s">
        <v>148</v>
      </c>
      <c r="H912" s="261" t="s">
        <v>266</v>
      </c>
      <c r="I912" s="262"/>
      <c r="J912" s="263"/>
      <c r="K912" s="263"/>
      <c r="L912" s="263"/>
      <c r="M912" s="263"/>
      <c r="N912" s="263"/>
      <c r="O912" s="263"/>
      <c r="P912" s="263">
        <f>P913</f>
        <v>40000</v>
      </c>
      <c r="Q912" s="263">
        <f t="shared" ref="Q912:U913" si="1033">Q913</f>
        <v>40000</v>
      </c>
      <c r="R912" s="263">
        <f t="shared" si="1033"/>
        <v>40000</v>
      </c>
      <c r="S912" s="263">
        <f t="shared" si="1033"/>
        <v>0</v>
      </c>
      <c r="T912" s="263">
        <f t="shared" si="1033"/>
        <v>0</v>
      </c>
      <c r="U912" s="263">
        <f t="shared" si="1033"/>
        <v>0</v>
      </c>
      <c r="V912" s="263">
        <f t="shared" si="1032"/>
        <v>40000</v>
      </c>
      <c r="W912" s="263">
        <f t="shared" si="1032"/>
        <v>40000</v>
      </c>
      <c r="X912" s="263">
        <f t="shared" si="1032"/>
        <v>40000</v>
      </c>
    </row>
    <row r="913" spans="1:24" s="229" customFormat="1" ht="25.5" hidden="1">
      <c r="A913" s="240" t="s">
        <v>260</v>
      </c>
      <c r="B913" s="261" t="s">
        <v>402</v>
      </c>
      <c r="C913" s="261" t="s">
        <v>13</v>
      </c>
      <c r="D913" s="261" t="s">
        <v>30</v>
      </c>
      <c r="E913" s="261" t="s">
        <v>214</v>
      </c>
      <c r="F913" s="261" t="s">
        <v>70</v>
      </c>
      <c r="G913" s="261" t="s">
        <v>148</v>
      </c>
      <c r="H913" s="261" t="s">
        <v>266</v>
      </c>
      <c r="I913" s="262" t="s">
        <v>94</v>
      </c>
      <c r="J913" s="263"/>
      <c r="K913" s="263"/>
      <c r="L913" s="263"/>
      <c r="M913" s="263"/>
      <c r="N913" s="263"/>
      <c r="O913" s="263"/>
      <c r="P913" s="263">
        <f>P914</f>
        <v>40000</v>
      </c>
      <c r="Q913" s="263">
        <f t="shared" si="1033"/>
        <v>40000</v>
      </c>
      <c r="R913" s="263">
        <f t="shared" si="1033"/>
        <v>40000</v>
      </c>
      <c r="S913" s="263">
        <f t="shared" si="1033"/>
        <v>0</v>
      </c>
      <c r="T913" s="263">
        <f t="shared" si="1033"/>
        <v>0</v>
      </c>
      <c r="U913" s="263">
        <f t="shared" si="1033"/>
        <v>0</v>
      </c>
      <c r="V913" s="263">
        <f t="shared" si="1032"/>
        <v>40000</v>
      </c>
      <c r="W913" s="263">
        <f t="shared" si="1032"/>
        <v>40000</v>
      </c>
      <c r="X913" s="263">
        <f t="shared" si="1032"/>
        <v>40000</v>
      </c>
    </row>
    <row r="914" spans="1:24" s="229" customFormat="1" ht="25.5" hidden="1">
      <c r="A914" s="239" t="s">
        <v>98</v>
      </c>
      <c r="B914" s="261" t="s">
        <v>402</v>
      </c>
      <c r="C914" s="261" t="s">
        <v>13</v>
      </c>
      <c r="D914" s="261" t="s">
        <v>30</v>
      </c>
      <c r="E914" s="261" t="s">
        <v>214</v>
      </c>
      <c r="F914" s="261" t="s">
        <v>70</v>
      </c>
      <c r="G914" s="261" t="s">
        <v>148</v>
      </c>
      <c r="H914" s="261" t="s">
        <v>266</v>
      </c>
      <c r="I914" s="262" t="s">
        <v>95</v>
      </c>
      <c r="J914" s="263"/>
      <c r="K914" s="263"/>
      <c r="L914" s="263"/>
      <c r="M914" s="263"/>
      <c r="N914" s="263"/>
      <c r="O914" s="263"/>
      <c r="P914" s="263">
        <v>40000</v>
      </c>
      <c r="Q914" s="263">
        <v>40000</v>
      </c>
      <c r="R914" s="263">
        <v>40000</v>
      </c>
      <c r="S914" s="263"/>
      <c r="T914" s="263"/>
      <c r="U914" s="263"/>
      <c r="V914" s="263">
        <f t="shared" si="1032"/>
        <v>40000</v>
      </c>
      <c r="W914" s="263">
        <f t="shared" si="1032"/>
        <v>40000</v>
      </c>
      <c r="X914" s="263">
        <f t="shared" si="1032"/>
        <v>40000</v>
      </c>
    </row>
    <row r="915" spans="1:24" s="229" customFormat="1" hidden="1">
      <c r="A915" s="239" t="s">
        <v>339</v>
      </c>
      <c r="B915" s="261" t="s">
        <v>402</v>
      </c>
      <c r="C915" s="261" t="s">
        <v>13</v>
      </c>
      <c r="D915" s="261" t="s">
        <v>30</v>
      </c>
      <c r="E915" s="261" t="s">
        <v>214</v>
      </c>
      <c r="F915" s="261" t="s">
        <v>70</v>
      </c>
      <c r="G915" s="261" t="s">
        <v>148</v>
      </c>
      <c r="H915" s="261" t="s">
        <v>338</v>
      </c>
      <c r="I915" s="262"/>
      <c r="J915" s="263"/>
      <c r="K915" s="263"/>
      <c r="L915" s="263"/>
      <c r="M915" s="263"/>
      <c r="N915" s="263"/>
      <c r="O915" s="263"/>
      <c r="P915" s="263">
        <f>P916</f>
        <v>155000</v>
      </c>
      <c r="Q915" s="263">
        <f t="shared" ref="Q915:U916" si="1034">Q916</f>
        <v>155000</v>
      </c>
      <c r="R915" s="263">
        <f t="shared" si="1034"/>
        <v>155000</v>
      </c>
      <c r="S915" s="263">
        <f t="shared" si="1034"/>
        <v>0</v>
      </c>
      <c r="T915" s="263">
        <f t="shared" si="1034"/>
        <v>0</v>
      </c>
      <c r="U915" s="263">
        <f t="shared" si="1034"/>
        <v>0</v>
      </c>
      <c r="V915" s="263">
        <f t="shared" si="1032"/>
        <v>155000</v>
      </c>
      <c r="W915" s="263">
        <f t="shared" si="1032"/>
        <v>155000</v>
      </c>
      <c r="X915" s="263">
        <f t="shared" si="1032"/>
        <v>155000</v>
      </c>
    </row>
    <row r="916" spans="1:24" s="229" customFormat="1" ht="25.5" hidden="1">
      <c r="A916" s="240" t="s">
        <v>260</v>
      </c>
      <c r="B916" s="261" t="s">
        <v>402</v>
      </c>
      <c r="C916" s="261" t="s">
        <v>13</v>
      </c>
      <c r="D916" s="261" t="s">
        <v>30</v>
      </c>
      <c r="E916" s="261" t="s">
        <v>214</v>
      </c>
      <c r="F916" s="261" t="s">
        <v>70</v>
      </c>
      <c r="G916" s="261" t="s">
        <v>148</v>
      </c>
      <c r="H916" s="261" t="s">
        <v>338</v>
      </c>
      <c r="I916" s="262" t="s">
        <v>94</v>
      </c>
      <c r="J916" s="263"/>
      <c r="K916" s="263"/>
      <c r="L916" s="263"/>
      <c r="M916" s="263"/>
      <c r="N916" s="263"/>
      <c r="O916" s="263"/>
      <c r="P916" s="263">
        <f>P917</f>
        <v>155000</v>
      </c>
      <c r="Q916" s="263">
        <f t="shared" si="1034"/>
        <v>155000</v>
      </c>
      <c r="R916" s="263">
        <f t="shared" si="1034"/>
        <v>155000</v>
      </c>
      <c r="S916" s="263">
        <f t="shared" si="1034"/>
        <v>0</v>
      </c>
      <c r="T916" s="263">
        <f t="shared" si="1034"/>
        <v>0</v>
      </c>
      <c r="U916" s="263">
        <f t="shared" si="1034"/>
        <v>0</v>
      </c>
      <c r="V916" s="263">
        <f t="shared" si="1032"/>
        <v>155000</v>
      </c>
      <c r="W916" s="263">
        <f t="shared" si="1032"/>
        <v>155000</v>
      </c>
      <c r="X916" s="263">
        <f t="shared" si="1032"/>
        <v>155000</v>
      </c>
    </row>
    <row r="917" spans="1:24" s="229" customFormat="1" ht="25.5" hidden="1">
      <c r="A917" s="239" t="s">
        <v>98</v>
      </c>
      <c r="B917" s="261" t="s">
        <v>402</v>
      </c>
      <c r="C917" s="261" t="s">
        <v>13</v>
      </c>
      <c r="D917" s="261" t="s">
        <v>30</v>
      </c>
      <c r="E917" s="261" t="s">
        <v>214</v>
      </c>
      <c r="F917" s="261" t="s">
        <v>70</v>
      </c>
      <c r="G917" s="261" t="s">
        <v>148</v>
      </c>
      <c r="H917" s="261" t="s">
        <v>338</v>
      </c>
      <c r="I917" s="262" t="s">
        <v>95</v>
      </c>
      <c r="J917" s="263"/>
      <c r="K917" s="263"/>
      <c r="L917" s="263"/>
      <c r="M917" s="263"/>
      <c r="N917" s="263"/>
      <c r="O917" s="263"/>
      <c r="P917" s="263">
        <v>155000</v>
      </c>
      <c r="Q917" s="263">
        <v>155000</v>
      </c>
      <c r="R917" s="263">
        <v>155000</v>
      </c>
      <c r="S917" s="263"/>
      <c r="T917" s="263"/>
      <c r="U917" s="263"/>
      <c r="V917" s="263">
        <f t="shared" si="1032"/>
        <v>155000</v>
      </c>
      <c r="W917" s="263">
        <f t="shared" si="1032"/>
        <v>155000</v>
      </c>
      <c r="X917" s="263">
        <f t="shared" si="1032"/>
        <v>155000</v>
      </c>
    </row>
    <row r="918" spans="1:24" s="229" customFormat="1" hidden="1">
      <c r="A918" s="264" t="s">
        <v>332</v>
      </c>
      <c r="B918" s="261" t="s">
        <v>402</v>
      </c>
      <c r="C918" s="261" t="s">
        <v>13</v>
      </c>
      <c r="D918" s="261" t="s">
        <v>30</v>
      </c>
      <c r="E918" s="261" t="s">
        <v>214</v>
      </c>
      <c r="F918" s="261" t="s">
        <v>70</v>
      </c>
      <c r="G918" s="261" t="s">
        <v>148</v>
      </c>
      <c r="H918" s="261" t="s">
        <v>185</v>
      </c>
      <c r="I918" s="262"/>
      <c r="J918" s="263"/>
      <c r="K918" s="263"/>
      <c r="L918" s="263"/>
      <c r="M918" s="263"/>
      <c r="N918" s="263"/>
      <c r="O918" s="263"/>
      <c r="P918" s="263">
        <f>P919</f>
        <v>200000</v>
      </c>
      <c r="Q918" s="263">
        <f t="shared" ref="Q918:U919" si="1035">Q919</f>
        <v>200000</v>
      </c>
      <c r="R918" s="263">
        <f t="shared" si="1035"/>
        <v>200000</v>
      </c>
      <c r="S918" s="263">
        <f t="shared" si="1035"/>
        <v>0</v>
      </c>
      <c r="T918" s="263">
        <f t="shared" si="1035"/>
        <v>0</v>
      </c>
      <c r="U918" s="263">
        <f t="shared" si="1035"/>
        <v>0</v>
      </c>
      <c r="V918" s="263">
        <f t="shared" si="1032"/>
        <v>200000</v>
      </c>
      <c r="W918" s="263">
        <f t="shared" si="1032"/>
        <v>200000</v>
      </c>
      <c r="X918" s="263">
        <f t="shared" si="1032"/>
        <v>200000</v>
      </c>
    </row>
    <row r="919" spans="1:24" s="229" customFormat="1" hidden="1">
      <c r="A919" s="235" t="s">
        <v>80</v>
      </c>
      <c r="B919" s="261" t="s">
        <v>402</v>
      </c>
      <c r="C919" s="261" t="s">
        <v>13</v>
      </c>
      <c r="D919" s="261" t="s">
        <v>30</v>
      </c>
      <c r="E919" s="261" t="s">
        <v>214</v>
      </c>
      <c r="F919" s="261" t="s">
        <v>70</v>
      </c>
      <c r="G919" s="261" t="s">
        <v>148</v>
      </c>
      <c r="H919" s="261" t="s">
        <v>185</v>
      </c>
      <c r="I919" s="262" t="s">
        <v>77</v>
      </c>
      <c r="J919" s="263"/>
      <c r="K919" s="263"/>
      <c r="L919" s="263"/>
      <c r="M919" s="263"/>
      <c r="N919" s="263"/>
      <c r="O919" s="263"/>
      <c r="P919" s="263">
        <f>P920</f>
        <v>200000</v>
      </c>
      <c r="Q919" s="263">
        <f t="shared" si="1035"/>
        <v>200000</v>
      </c>
      <c r="R919" s="263">
        <f t="shared" si="1035"/>
        <v>200000</v>
      </c>
      <c r="S919" s="263">
        <f t="shared" si="1035"/>
        <v>0</v>
      </c>
      <c r="T919" s="263">
        <f t="shared" si="1035"/>
        <v>0</v>
      </c>
      <c r="U919" s="263">
        <f t="shared" si="1035"/>
        <v>0</v>
      </c>
      <c r="V919" s="263">
        <f t="shared" si="1032"/>
        <v>200000</v>
      </c>
      <c r="W919" s="263">
        <f t="shared" si="1032"/>
        <v>200000</v>
      </c>
      <c r="X919" s="263">
        <f t="shared" si="1032"/>
        <v>200000</v>
      </c>
    </row>
    <row r="920" spans="1:24" s="229" customFormat="1" hidden="1">
      <c r="A920" s="235" t="s">
        <v>105</v>
      </c>
      <c r="B920" s="261" t="s">
        <v>402</v>
      </c>
      <c r="C920" s="261" t="s">
        <v>13</v>
      </c>
      <c r="D920" s="261" t="s">
        <v>30</v>
      </c>
      <c r="E920" s="261" t="s">
        <v>214</v>
      </c>
      <c r="F920" s="261" t="s">
        <v>70</v>
      </c>
      <c r="G920" s="261" t="s">
        <v>148</v>
      </c>
      <c r="H920" s="261" t="s">
        <v>185</v>
      </c>
      <c r="I920" s="262" t="s">
        <v>104</v>
      </c>
      <c r="J920" s="263"/>
      <c r="K920" s="263"/>
      <c r="L920" s="263"/>
      <c r="M920" s="263"/>
      <c r="N920" s="263"/>
      <c r="O920" s="263"/>
      <c r="P920" s="263">
        <v>200000</v>
      </c>
      <c r="Q920" s="263">
        <v>200000</v>
      </c>
      <c r="R920" s="263">
        <v>200000</v>
      </c>
      <c r="S920" s="263"/>
      <c r="T920" s="263"/>
      <c r="U920" s="263"/>
      <c r="V920" s="263">
        <f t="shared" si="1032"/>
        <v>200000</v>
      </c>
      <c r="W920" s="263">
        <f t="shared" si="1032"/>
        <v>200000</v>
      </c>
      <c r="X920" s="263">
        <f t="shared" si="1032"/>
        <v>200000</v>
      </c>
    </row>
    <row r="921" spans="1:24" s="229" customFormat="1" ht="25.5" hidden="1">
      <c r="A921" s="256" t="s">
        <v>192</v>
      </c>
      <c r="B921" s="257" t="s">
        <v>402</v>
      </c>
      <c r="C921" s="257" t="s">
        <v>13</v>
      </c>
      <c r="D921" s="257" t="s">
        <v>29</v>
      </c>
      <c r="E921" s="261"/>
      <c r="F921" s="261"/>
      <c r="G921" s="261"/>
      <c r="H921" s="261"/>
      <c r="I921" s="262"/>
      <c r="J921" s="259"/>
      <c r="K921" s="259"/>
      <c r="L921" s="259"/>
      <c r="M921" s="259"/>
      <c r="N921" s="259"/>
      <c r="O921" s="259"/>
      <c r="P921" s="259">
        <f>P922+P926</f>
        <v>70000</v>
      </c>
      <c r="Q921" s="259">
        <f t="shared" ref="Q921:U921" si="1036">Q922+Q926</f>
        <v>70000</v>
      </c>
      <c r="R921" s="259">
        <f t="shared" si="1036"/>
        <v>70000</v>
      </c>
      <c r="S921" s="259">
        <f t="shared" si="1036"/>
        <v>0</v>
      </c>
      <c r="T921" s="259">
        <f t="shared" si="1036"/>
        <v>0</v>
      </c>
      <c r="U921" s="259">
        <f t="shared" si="1036"/>
        <v>0</v>
      </c>
      <c r="V921" s="259">
        <f t="shared" si="1032"/>
        <v>70000</v>
      </c>
      <c r="W921" s="259">
        <f t="shared" si="1032"/>
        <v>70000</v>
      </c>
      <c r="X921" s="259">
        <f t="shared" si="1032"/>
        <v>70000</v>
      </c>
    </row>
    <row r="922" spans="1:24" s="229" customFormat="1" ht="38.25" hidden="1">
      <c r="A922" s="239" t="s">
        <v>342</v>
      </c>
      <c r="B922" s="247" t="s">
        <v>402</v>
      </c>
      <c r="C922" s="247" t="s">
        <v>13</v>
      </c>
      <c r="D922" s="247" t="s">
        <v>29</v>
      </c>
      <c r="E922" s="247" t="s">
        <v>29</v>
      </c>
      <c r="F922" s="247" t="s">
        <v>70</v>
      </c>
      <c r="G922" s="247" t="s">
        <v>148</v>
      </c>
      <c r="H922" s="247" t="s">
        <v>149</v>
      </c>
      <c r="I922" s="248"/>
      <c r="J922" s="265"/>
      <c r="K922" s="265"/>
      <c r="L922" s="265"/>
      <c r="M922" s="265"/>
      <c r="N922" s="265"/>
      <c r="O922" s="265"/>
      <c r="P922" s="265">
        <f>P923</f>
        <v>20000</v>
      </c>
      <c r="Q922" s="265">
        <f t="shared" ref="Q922:U924" si="1037">Q923</f>
        <v>20000</v>
      </c>
      <c r="R922" s="265">
        <f t="shared" si="1037"/>
        <v>20000</v>
      </c>
      <c r="S922" s="265">
        <f t="shared" si="1037"/>
        <v>0</v>
      </c>
      <c r="T922" s="265">
        <f t="shared" si="1037"/>
        <v>0</v>
      </c>
      <c r="U922" s="265">
        <f t="shared" si="1037"/>
        <v>0</v>
      </c>
      <c r="V922" s="265">
        <f t="shared" si="1032"/>
        <v>20000</v>
      </c>
      <c r="W922" s="265">
        <f t="shared" si="1032"/>
        <v>20000</v>
      </c>
      <c r="X922" s="265">
        <f t="shared" si="1032"/>
        <v>20000</v>
      </c>
    </row>
    <row r="923" spans="1:24" s="229" customFormat="1" ht="25.5" hidden="1">
      <c r="A923" s="239" t="s">
        <v>343</v>
      </c>
      <c r="B923" s="247" t="s">
        <v>402</v>
      </c>
      <c r="C923" s="247" t="s">
        <v>13</v>
      </c>
      <c r="D923" s="247" t="s">
        <v>29</v>
      </c>
      <c r="E923" s="247" t="s">
        <v>29</v>
      </c>
      <c r="F923" s="247" t="s">
        <v>70</v>
      </c>
      <c r="G923" s="247" t="s">
        <v>148</v>
      </c>
      <c r="H923" s="247" t="s">
        <v>341</v>
      </c>
      <c r="I923" s="248"/>
      <c r="J923" s="265"/>
      <c r="K923" s="265"/>
      <c r="L923" s="265"/>
      <c r="M923" s="265"/>
      <c r="N923" s="265"/>
      <c r="O923" s="265"/>
      <c r="P923" s="265">
        <f>P924</f>
        <v>20000</v>
      </c>
      <c r="Q923" s="265">
        <f t="shared" si="1037"/>
        <v>20000</v>
      </c>
      <c r="R923" s="265">
        <f t="shared" si="1037"/>
        <v>20000</v>
      </c>
      <c r="S923" s="265">
        <f t="shared" si="1037"/>
        <v>0</v>
      </c>
      <c r="T923" s="265">
        <f t="shared" si="1037"/>
        <v>0</v>
      </c>
      <c r="U923" s="265">
        <f t="shared" si="1037"/>
        <v>0</v>
      </c>
      <c r="V923" s="265">
        <f t="shared" si="1032"/>
        <v>20000</v>
      </c>
      <c r="W923" s="265">
        <f t="shared" si="1032"/>
        <v>20000</v>
      </c>
      <c r="X923" s="265">
        <f t="shared" si="1032"/>
        <v>20000</v>
      </c>
    </row>
    <row r="924" spans="1:24" s="229" customFormat="1" ht="25.5" hidden="1">
      <c r="A924" s="240" t="s">
        <v>260</v>
      </c>
      <c r="B924" s="247" t="s">
        <v>402</v>
      </c>
      <c r="C924" s="247" t="s">
        <v>13</v>
      </c>
      <c r="D924" s="247" t="s">
        <v>29</v>
      </c>
      <c r="E924" s="247" t="s">
        <v>29</v>
      </c>
      <c r="F924" s="247" t="s">
        <v>70</v>
      </c>
      <c r="G924" s="247" t="s">
        <v>148</v>
      </c>
      <c r="H924" s="247" t="s">
        <v>341</v>
      </c>
      <c r="I924" s="248" t="s">
        <v>94</v>
      </c>
      <c r="J924" s="265"/>
      <c r="K924" s="265"/>
      <c r="L924" s="265"/>
      <c r="M924" s="265"/>
      <c r="N924" s="265"/>
      <c r="O924" s="265"/>
      <c r="P924" s="265">
        <f>P925</f>
        <v>20000</v>
      </c>
      <c r="Q924" s="265">
        <f t="shared" si="1037"/>
        <v>20000</v>
      </c>
      <c r="R924" s="265">
        <f t="shared" si="1037"/>
        <v>20000</v>
      </c>
      <c r="S924" s="265">
        <f t="shared" si="1037"/>
        <v>0</v>
      </c>
      <c r="T924" s="265">
        <f t="shared" si="1037"/>
        <v>0</v>
      </c>
      <c r="U924" s="265">
        <f t="shared" si="1037"/>
        <v>0</v>
      </c>
      <c r="V924" s="265">
        <f t="shared" si="1032"/>
        <v>20000</v>
      </c>
      <c r="W924" s="265">
        <f t="shared" si="1032"/>
        <v>20000</v>
      </c>
      <c r="X924" s="265">
        <f t="shared" si="1032"/>
        <v>20000</v>
      </c>
    </row>
    <row r="925" spans="1:24" s="229" customFormat="1" ht="25.5" hidden="1">
      <c r="A925" s="239" t="s">
        <v>98</v>
      </c>
      <c r="B925" s="247" t="s">
        <v>402</v>
      </c>
      <c r="C925" s="247" t="s">
        <v>13</v>
      </c>
      <c r="D925" s="247" t="s">
        <v>29</v>
      </c>
      <c r="E925" s="247" t="s">
        <v>29</v>
      </c>
      <c r="F925" s="247" t="s">
        <v>70</v>
      </c>
      <c r="G925" s="247" t="s">
        <v>148</v>
      </c>
      <c r="H925" s="247" t="s">
        <v>341</v>
      </c>
      <c r="I925" s="248" t="s">
        <v>95</v>
      </c>
      <c r="J925" s="265"/>
      <c r="K925" s="265"/>
      <c r="L925" s="238"/>
      <c r="M925" s="265"/>
      <c r="N925" s="265"/>
      <c r="O925" s="238"/>
      <c r="P925" s="265">
        <v>20000</v>
      </c>
      <c r="Q925" s="265">
        <v>20000</v>
      </c>
      <c r="R925" s="238">
        <v>20000</v>
      </c>
      <c r="S925" s="265"/>
      <c r="T925" s="265"/>
      <c r="U925" s="238"/>
      <c r="V925" s="265">
        <f t="shared" si="1032"/>
        <v>20000</v>
      </c>
      <c r="W925" s="265">
        <f t="shared" si="1032"/>
        <v>20000</v>
      </c>
      <c r="X925" s="238">
        <f t="shared" si="1032"/>
        <v>20000</v>
      </c>
    </row>
    <row r="926" spans="1:24" s="229" customFormat="1" ht="25.5" hidden="1">
      <c r="A926" s="241" t="s">
        <v>291</v>
      </c>
      <c r="B926" s="247" t="s">
        <v>402</v>
      </c>
      <c r="C926" s="247" t="s">
        <v>13</v>
      </c>
      <c r="D926" s="247" t="s">
        <v>29</v>
      </c>
      <c r="E926" s="227" t="s">
        <v>194</v>
      </c>
      <c r="F926" s="227" t="s">
        <v>70</v>
      </c>
      <c r="G926" s="227" t="s">
        <v>148</v>
      </c>
      <c r="H926" s="247" t="s">
        <v>149</v>
      </c>
      <c r="I926" s="248"/>
      <c r="J926" s="238"/>
      <c r="K926" s="238"/>
      <c r="L926" s="238"/>
      <c r="M926" s="238"/>
      <c r="N926" s="238"/>
      <c r="O926" s="238"/>
      <c r="P926" s="238">
        <f>P927</f>
        <v>50000</v>
      </c>
      <c r="Q926" s="238">
        <f t="shared" ref="Q926:U926" si="1038">Q927</f>
        <v>50000</v>
      </c>
      <c r="R926" s="238">
        <f t="shared" si="1038"/>
        <v>50000</v>
      </c>
      <c r="S926" s="238">
        <f t="shared" si="1038"/>
        <v>0</v>
      </c>
      <c r="T926" s="238">
        <f t="shared" si="1038"/>
        <v>0</v>
      </c>
      <c r="U926" s="238">
        <f t="shared" si="1038"/>
        <v>0</v>
      </c>
      <c r="V926" s="238">
        <f t="shared" si="1032"/>
        <v>50000</v>
      </c>
      <c r="W926" s="238">
        <f t="shared" si="1032"/>
        <v>50000</v>
      </c>
      <c r="X926" s="238">
        <f t="shared" si="1032"/>
        <v>50000</v>
      </c>
    </row>
    <row r="927" spans="1:24" s="229" customFormat="1" hidden="1">
      <c r="A927" s="241" t="s">
        <v>340</v>
      </c>
      <c r="B927" s="247" t="s">
        <v>402</v>
      </c>
      <c r="C927" s="247" t="s">
        <v>13</v>
      </c>
      <c r="D927" s="247" t="s">
        <v>29</v>
      </c>
      <c r="E927" s="227" t="s">
        <v>194</v>
      </c>
      <c r="F927" s="227" t="s">
        <v>70</v>
      </c>
      <c r="G927" s="227" t="s">
        <v>148</v>
      </c>
      <c r="H927" s="247" t="s">
        <v>195</v>
      </c>
      <c r="I927" s="248"/>
      <c r="J927" s="238"/>
      <c r="K927" s="238"/>
      <c r="L927" s="238"/>
      <c r="M927" s="238"/>
      <c r="N927" s="238"/>
      <c r="O927" s="238"/>
      <c r="P927" s="238">
        <f>P930+P932</f>
        <v>50000</v>
      </c>
      <c r="Q927" s="238">
        <f t="shared" ref="Q927:R927" si="1039">Q930+Q932</f>
        <v>50000</v>
      </c>
      <c r="R927" s="238">
        <f t="shared" si="1039"/>
        <v>50000</v>
      </c>
      <c r="S927" s="238">
        <f>S930+S932+S928</f>
        <v>0</v>
      </c>
      <c r="T927" s="238">
        <f t="shared" ref="T927:U927" si="1040">T930+T932+T928</f>
        <v>0</v>
      </c>
      <c r="U927" s="238">
        <f t="shared" si="1040"/>
        <v>0</v>
      </c>
      <c r="V927" s="238">
        <f t="shared" ref="V927:X944" si="1041">P927+S927</f>
        <v>50000</v>
      </c>
      <c r="W927" s="238">
        <f t="shared" si="1041"/>
        <v>50000</v>
      </c>
      <c r="X927" s="238">
        <f t="shared" si="1041"/>
        <v>50000</v>
      </c>
    </row>
    <row r="928" spans="1:24" s="229" customFormat="1" ht="38.25" hidden="1">
      <c r="A928" s="239" t="s">
        <v>96</v>
      </c>
      <c r="B928" s="247" t="s">
        <v>402</v>
      </c>
      <c r="C928" s="247" t="s">
        <v>13</v>
      </c>
      <c r="D928" s="247" t="s">
        <v>29</v>
      </c>
      <c r="E928" s="227" t="s">
        <v>194</v>
      </c>
      <c r="F928" s="227" t="s">
        <v>70</v>
      </c>
      <c r="G928" s="227" t="s">
        <v>148</v>
      </c>
      <c r="H928" s="247" t="s">
        <v>195</v>
      </c>
      <c r="I928" s="237" t="s">
        <v>92</v>
      </c>
      <c r="J928" s="238"/>
      <c r="K928" s="238"/>
      <c r="L928" s="238"/>
      <c r="M928" s="238"/>
      <c r="N928" s="238"/>
      <c r="O928" s="238"/>
      <c r="P928" s="238">
        <f>P929</f>
        <v>0</v>
      </c>
      <c r="Q928" s="238">
        <f t="shared" ref="Q928:U928" si="1042">Q929</f>
        <v>0</v>
      </c>
      <c r="R928" s="238">
        <f t="shared" si="1042"/>
        <v>0</v>
      </c>
      <c r="S928" s="238">
        <f t="shared" si="1042"/>
        <v>20000</v>
      </c>
      <c r="T928" s="238">
        <f t="shared" si="1042"/>
        <v>0</v>
      </c>
      <c r="U928" s="238">
        <f t="shared" si="1042"/>
        <v>0</v>
      </c>
      <c r="V928" s="238">
        <f t="shared" si="1041"/>
        <v>20000</v>
      </c>
      <c r="W928" s="238">
        <f t="shared" si="1041"/>
        <v>0</v>
      </c>
      <c r="X928" s="238">
        <f t="shared" si="1041"/>
        <v>0</v>
      </c>
    </row>
    <row r="929" spans="1:24" s="229" customFormat="1" hidden="1">
      <c r="A929" s="239" t="s">
        <v>103</v>
      </c>
      <c r="B929" s="247" t="s">
        <v>402</v>
      </c>
      <c r="C929" s="247" t="s">
        <v>13</v>
      </c>
      <c r="D929" s="247" t="s">
        <v>29</v>
      </c>
      <c r="E929" s="227" t="s">
        <v>194</v>
      </c>
      <c r="F929" s="227" t="s">
        <v>70</v>
      </c>
      <c r="G929" s="227" t="s">
        <v>148</v>
      </c>
      <c r="H929" s="247" t="s">
        <v>195</v>
      </c>
      <c r="I929" s="237" t="s">
        <v>102</v>
      </c>
      <c r="J929" s="238"/>
      <c r="K929" s="238"/>
      <c r="L929" s="238"/>
      <c r="M929" s="238"/>
      <c r="N929" s="238"/>
      <c r="O929" s="238"/>
      <c r="P929" s="238"/>
      <c r="Q929" s="238"/>
      <c r="R929" s="238"/>
      <c r="S929" s="238">
        <v>20000</v>
      </c>
      <c r="T929" s="238"/>
      <c r="U929" s="238"/>
      <c r="V929" s="238">
        <f t="shared" si="1041"/>
        <v>20000</v>
      </c>
      <c r="W929" s="238">
        <f t="shared" si="1041"/>
        <v>0</v>
      </c>
      <c r="X929" s="238">
        <f t="shared" si="1041"/>
        <v>0</v>
      </c>
    </row>
    <row r="930" spans="1:24" s="229" customFormat="1" ht="25.5" hidden="1">
      <c r="A930" s="240" t="s">
        <v>260</v>
      </c>
      <c r="B930" s="247" t="s">
        <v>402</v>
      </c>
      <c r="C930" s="247" t="s">
        <v>13</v>
      </c>
      <c r="D930" s="247" t="s">
        <v>29</v>
      </c>
      <c r="E930" s="227" t="s">
        <v>194</v>
      </c>
      <c r="F930" s="227" t="s">
        <v>70</v>
      </c>
      <c r="G930" s="227" t="s">
        <v>148</v>
      </c>
      <c r="H930" s="247" t="s">
        <v>195</v>
      </c>
      <c r="I930" s="248" t="s">
        <v>94</v>
      </c>
      <c r="J930" s="238"/>
      <c r="K930" s="238"/>
      <c r="L930" s="238"/>
      <c r="M930" s="238"/>
      <c r="N930" s="238"/>
      <c r="O930" s="238"/>
      <c r="P930" s="238">
        <f>P931</f>
        <v>30000</v>
      </c>
      <c r="Q930" s="238">
        <f t="shared" ref="Q930:U930" si="1043">Q931</f>
        <v>30000</v>
      </c>
      <c r="R930" s="238">
        <f t="shared" si="1043"/>
        <v>30000</v>
      </c>
      <c r="S930" s="238">
        <f t="shared" si="1043"/>
        <v>0</v>
      </c>
      <c r="T930" s="238">
        <f t="shared" si="1043"/>
        <v>0</v>
      </c>
      <c r="U930" s="238">
        <f t="shared" si="1043"/>
        <v>0</v>
      </c>
      <c r="V930" s="238">
        <f t="shared" si="1041"/>
        <v>30000</v>
      </c>
      <c r="W930" s="238">
        <f t="shared" si="1041"/>
        <v>30000</v>
      </c>
      <c r="X930" s="238">
        <f t="shared" si="1041"/>
        <v>30000</v>
      </c>
    </row>
    <row r="931" spans="1:24" s="229" customFormat="1" ht="25.5" hidden="1">
      <c r="A931" s="239" t="s">
        <v>98</v>
      </c>
      <c r="B931" s="247" t="s">
        <v>402</v>
      </c>
      <c r="C931" s="247" t="s">
        <v>13</v>
      </c>
      <c r="D931" s="247" t="s">
        <v>29</v>
      </c>
      <c r="E931" s="227" t="s">
        <v>194</v>
      </c>
      <c r="F931" s="227" t="s">
        <v>70</v>
      </c>
      <c r="G931" s="227" t="s">
        <v>148</v>
      </c>
      <c r="H931" s="247" t="s">
        <v>195</v>
      </c>
      <c r="I931" s="248" t="s">
        <v>95</v>
      </c>
      <c r="J931" s="238"/>
      <c r="K931" s="238"/>
      <c r="L931" s="238"/>
      <c r="M931" s="238"/>
      <c r="N931" s="238"/>
      <c r="O931" s="238"/>
      <c r="P931" s="238">
        <v>30000</v>
      </c>
      <c r="Q931" s="238">
        <v>30000</v>
      </c>
      <c r="R931" s="238">
        <v>30000</v>
      </c>
      <c r="S931" s="238"/>
      <c r="T931" s="238"/>
      <c r="U931" s="238"/>
      <c r="V931" s="238">
        <f t="shared" si="1041"/>
        <v>30000</v>
      </c>
      <c r="W931" s="238">
        <f t="shared" si="1041"/>
        <v>30000</v>
      </c>
      <c r="X931" s="238">
        <f t="shared" si="1041"/>
        <v>30000</v>
      </c>
    </row>
    <row r="932" spans="1:24" s="229" customFormat="1" hidden="1">
      <c r="A932" s="235" t="s">
        <v>100</v>
      </c>
      <c r="B932" s="247" t="s">
        <v>402</v>
      </c>
      <c r="C932" s="247" t="s">
        <v>13</v>
      </c>
      <c r="D932" s="247" t="s">
        <v>29</v>
      </c>
      <c r="E932" s="227" t="s">
        <v>194</v>
      </c>
      <c r="F932" s="227" t="s">
        <v>70</v>
      </c>
      <c r="G932" s="227" t="s">
        <v>148</v>
      </c>
      <c r="H932" s="247" t="s">
        <v>195</v>
      </c>
      <c r="I932" s="248" t="s">
        <v>99</v>
      </c>
      <c r="J932" s="238"/>
      <c r="K932" s="238"/>
      <c r="L932" s="238"/>
      <c r="M932" s="238"/>
      <c r="N932" s="238"/>
      <c r="O932" s="238"/>
      <c r="P932" s="238">
        <f>P933</f>
        <v>20000</v>
      </c>
      <c r="Q932" s="238">
        <f t="shared" ref="Q932:U932" si="1044">Q933</f>
        <v>20000</v>
      </c>
      <c r="R932" s="238">
        <f t="shared" si="1044"/>
        <v>20000</v>
      </c>
      <c r="S932" s="238">
        <f t="shared" si="1044"/>
        <v>-20000</v>
      </c>
      <c r="T932" s="238">
        <f t="shared" si="1044"/>
        <v>0</v>
      </c>
      <c r="U932" s="238">
        <f t="shared" si="1044"/>
        <v>0</v>
      </c>
      <c r="V932" s="238">
        <f t="shared" si="1041"/>
        <v>0</v>
      </c>
      <c r="W932" s="238">
        <f t="shared" si="1041"/>
        <v>20000</v>
      </c>
      <c r="X932" s="238">
        <f t="shared" si="1041"/>
        <v>20000</v>
      </c>
    </row>
    <row r="933" spans="1:24" s="229" customFormat="1" hidden="1">
      <c r="A933" s="241" t="s">
        <v>117</v>
      </c>
      <c r="B933" s="247" t="s">
        <v>402</v>
      </c>
      <c r="C933" s="247" t="s">
        <v>13</v>
      </c>
      <c r="D933" s="247" t="s">
        <v>29</v>
      </c>
      <c r="E933" s="227" t="s">
        <v>194</v>
      </c>
      <c r="F933" s="227" t="s">
        <v>70</v>
      </c>
      <c r="G933" s="227" t="s">
        <v>148</v>
      </c>
      <c r="H933" s="247" t="s">
        <v>195</v>
      </c>
      <c r="I933" s="248" t="s">
        <v>116</v>
      </c>
      <c r="J933" s="238"/>
      <c r="K933" s="238"/>
      <c r="L933" s="238"/>
      <c r="M933" s="238"/>
      <c r="N933" s="238"/>
      <c r="O933" s="238"/>
      <c r="P933" s="238">
        <v>20000</v>
      </c>
      <c r="Q933" s="238">
        <v>20000</v>
      </c>
      <c r="R933" s="238">
        <v>20000</v>
      </c>
      <c r="S933" s="238">
        <v>-20000</v>
      </c>
      <c r="T933" s="238"/>
      <c r="U933" s="238"/>
      <c r="V933" s="238">
        <f t="shared" si="1041"/>
        <v>0</v>
      </c>
      <c r="W933" s="238">
        <f t="shared" si="1041"/>
        <v>20000</v>
      </c>
      <c r="X933" s="238">
        <f t="shared" si="1041"/>
        <v>20000</v>
      </c>
    </row>
    <row r="934" spans="1:24" s="229" customFormat="1" ht="15.75" hidden="1">
      <c r="A934" s="225" t="s">
        <v>15</v>
      </c>
      <c r="B934" s="266" t="s">
        <v>402</v>
      </c>
      <c r="C934" s="266" t="s">
        <v>16</v>
      </c>
      <c r="D934" s="247"/>
      <c r="E934" s="247"/>
      <c r="F934" s="247"/>
      <c r="G934" s="247"/>
      <c r="H934" s="247"/>
      <c r="I934" s="248"/>
      <c r="J934" s="228"/>
      <c r="K934" s="228"/>
      <c r="L934" s="228"/>
      <c r="M934" s="228"/>
      <c r="N934" s="228"/>
      <c r="O934" s="228"/>
      <c r="P934" s="228">
        <f t="shared" ref="P934:U934" si="1045">P935+P947+P966+P982</f>
        <v>35322482.670000002</v>
      </c>
      <c r="Q934" s="228">
        <f t="shared" si="1045"/>
        <v>25628161.07</v>
      </c>
      <c r="R934" s="228">
        <f t="shared" si="1045"/>
        <v>26914565.859999999</v>
      </c>
      <c r="S934" s="228">
        <f t="shared" si="1045"/>
        <v>88206172.680000007</v>
      </c>
      <c r="T934" s="228">
        <f t="shared" si="1045"/>
        <v>0</v>
      </c>
      <c r="U934" s="228">
        <f t="shared" si="1045"/>
        <v>0</v>
      </c>
      <c r="V934" s="228">
        <f t="shared" si="1041"/>
        <v>123528655.35000001</v>
      </c>
      <c r="W934" s="228">
        <f t="shared" si="1041"/>
        <v>25628161.07</v>
      </c>
      <c r="X934" s="228">
        <f t="shared" si="1041"/>
        <v>26914565.859999999</v>
      </c>
    </row>
    <row r="935" spans="1:24" s="229" customFormat="1" hidden="1">
      <c r="A935" s="230" t="s">
        <v>36</v>
      </c>
      <c r="B935" s="231" t="s">
        <v>402</v>
      </c>
      <c r="C935" s="231" t="s">
        <v>16</v>
      </c>
      <c r="D935" s="231" t="s">
        <v>18</v>
      </c>
      <c r="E935" s="231"/>
      <c r="F935" s="231"/>
      <c r="G935" s="231"/>
      <c r="H935" s="227"/>
      <c r="I935" s="237"/>
      <c r="J935" s="234"/>
      <c r="K935" s="234"/>
      <c r="L935" s="234"/>
      <c r="M935" s="234"/>
      <c r="N935" s="234"/>
      <c r="O935" s="234"/>
      <c r="P935" s="234">
        <f>P936+P943</f>
        <v>575200</v>
      </c>
      <c r="Q935" s="234">
        <f t="shared" ref="Q935:U935" si="1046">Q936+Q943</f>
        <v>580479.06999999995</v>
      </c>
      <c r="R935" s="234">
        <f t="shared" si="1046"/>
        <v>1035783.86</v>
      </c>
      <c r="S935" s="234">
        <f t="shared" si="1046"/>
        <v>0</v>
      </c>
      <c r="T935" s="234">
        <f t="shared" si="1046"/>
        <v>0</v>
      </c>
      <c r="U935" s="234">
        <f t="shared" si="1046"/>
        <v>0</v>
      </c>
      <c r="V935" s="234">
        <f t="shared" si="1041"/>
        <v>575200</v>
      </c>
      <c r="W935" s="234">
        <f t="shared" si="1041"/>
        <v>580479.06999999995</v>
      </c>
      <c r="X935" s="234">
        <f t="shared" si="1041"/>
        <v>1035783.86</v>
      </c>
    </row>
    <row r="936" spans="1:24" s="229" customFormat="1" ht="38.25" hidden="1">
      <c r="A936" s="235" t="s">
        <v>288</v>
      </c>
      <c r="B936" s="227" t="s">
        <v>402</v>
      </c>
      <c r="C936" s="227" t="s">
        <v>16</v>
      </c>
      <c r="D936" s="227" t="s">
        <v>18</v>
      </c>
      <c r="E936" s="227" t="s">
        <v>13</v>
      </c>
      <c r="F936" s="227" t="s">
        <v>70</v>
      </c>
      <c r="G936" s="227" t="s">
        <v>148</v>
      </c>
      <c r="H936" s="227" t="s">
        <v>149</v>
      </c>
      <c r="I936" s="237"/>
      <c r="J936" s="244"/>
      <c r="K936" s="244"/>
      <c r="L936" s="244"/>
      <c r="M936" s="244"/>
      <c r="N936" s="244"/>
      <c r="O936" s="244"/>
      <c r="P936" s="244">
        <f>P937+P940</f>
        <v>50000</v>
      </c>
      <c r="Q936" s="244">
        <f t="shared" ref="Q936:U936" si="1047">Q937+Q940</f>
        <v>50000</v>
      </c>
      <c r="R936" s="244">
        <f t="shared" si="1047"/>
        <v>500000</v>
      </c>
      <c r="S936" s="244">
        <f t="shared" si="1047"/>
        <v>0</v>
      </c>
      <c r="T936" s="244">
        <f t="shared" si="1047"/>
        <v>0</v>
      </c>
      <c r="U936" s="244">
        <f t="shared" si="1047"/>
        <v>0</v>
      </c>
      <c r="V936" s="244">
        <f t="shared" si="1041"/>
        <v>50000</v>
      </c>
      <c r="W936" s="244">
        <f t="shared" si="1041"/>
        <v>50000</v>
      </c>
      <c r="X936" s="244">
        <f t="shared" si="1041"/>
        <v>500000</v>
      </c>
    </row>
    <row r="937" spans="1:24" s="229" customFormat="1" hidden="1">
      <c r="A937" s="235" t="s">
        <v>344</v>
      </c>
      <c r="B937" s="227" t="s">
        <v>402</v>
      </c>
      <c r="C937" s="227" t="s">
        <v>16</v>
      </c>
      <c r="D937" s="227" t="s">
        <v>18</v>
      </c>
      <c r="E937" s="227" t="s">
        <v>13</v>
      </c>
      <c r="F937" s="227" t="s">
        <v>70</v>
      </c>
      <c r="G937" s="227" t="s">
        <v>148</v>
      </c>
      <c r="H937" s="267" t="s">
        <v>178</v>
      </c>
      <c r="I937" s="237"/>
      <c r="J937" s="238"/>
      <c r="K937" s="238"/>
      <c r="L937" s="238"/>
      <c r="M937" s="238"/>
      <c r="N937" s="238"/>
      <c r="O937" s="238"/>
      <c r="P937" s="238">
        <f>P938</f>
        <v>50000</v>
      </c>
      <c r="Q937" s="238">
        <f t="shared" ref="Q937:U938" si="1048">Q938</f>
        <v>50000</v>
      </c>
      <c r="R937" s="238">
        <f t="shared" si="1048"/>
        <v>50000</v>
      </c>
      <c r="S937" s="238">
        <f t="shared" si="1048"/>
        <v>0</v>
      </c>
      <c r="T937" s="238">
        <f t="shared" si="1048"/>
        <v>0</v>
      </c>
      <c r="U937" s="238">
        <f t="shared" si="1048"/>
        <v>0</v>
      </c>
      <c r="V937" s="238">
        <f t="shared" si="1041"/>
        <v>50000</v>
      </c>
      <c r="W937" s="238">
        <f t="shared" si="1041"/>
        <v>50000</v>
      </c>
      <c r="X937" s="238">
        <f t="shared" si="1041"/>
        <v>50000</v>
      </c>
    </row>
    <row r="938" spans="1:24" s="229" customFormat="1" ht="25.5" hidden="1">
      <c r="A938" s="240" t="s">
        <v>260</v>
      </c>
      <c r="B938" s="227" t="s">
        <v>402</v>
      </c>
      <c r="C938" s="227" t="s">
        <v>16</v>
      </c>
      <c r="D938" s="227" t="s">
        <v>18</v>
      </c>
      <c r="E938" s="227" t="s">
        <v>13</v>
      </c>
      <c r="F938" s="227" t="s">
        <v>70</v>
      </c>
      <c r="G938" s="227" t="s">
        <v>148</v>
      </c>
      <c r="H938" s="267" t="s">
        <v>178</v>
      </c>
      <c r="I938" s="237" t="s">
        <v>94</v>
      </c>
      <c r="J938" s="238"/>
      <c r="K938" s="238"/>
      <c r="L938" s="238"/>
      <c r="M938" s="238"/>
      <c r="N938" s="238"/>
      <c r="O938" s="238"/>
      <c r="P938" s="238">
        <f>P939</f>
        <v>50000</v>
      </c>
      <c r="Q938" s="238">
        <f t="shared" si="1048"/>
        <v>50000</v>
      </c>
      <c r="R938" s="238">
        <f t="shared" si="1048"/>
        <v>50000</v>
      </c>
      <c r="S938" s="238">
        <f t="shared" si="1048"/>
        <v>0</v>
      </c>
      <c r="T938" s="238">
        <f t="shared" si="1048"/>
        <v>0</v>
      </c>
      <c r="U938" s="238">
        <f t="shared" si="1048"/>
        <v>0</v>
      </c>
      <c r="V938" s="238">
        <f t="shared" si="1041"/>
        <v>50000</v>
      </c>
      <c r="W938" s="238">
        <f t="shared" si="1041"/>
        <v>50000</v>
      </c>
      <c r="X938" s="238">
        <f t="shared" si="1041"/>
        <v>50000</v>
      </c>
    </row>
    <row r="939" spans="1:24" s="229" customFormat="1" ht="25.5" hidden="1">
      <c r="A939" s="239" t="s">
        <v>98</v>
      </c>
      <c r="B939" s="227" t="s">
        <v>402</v>
      </c>
      <c r="C939" s="227" t="s">
        <v>16</v>
      </c>
      <c r="D939" s="227" t="s">
        <v>18</v>
      </c>
      <c r="E939" s="227" t="s">
        <v>13</v>
      </c>
      <c r="F939" s="227" t="s">
        <v>70</v>
      </c>
      <c r="G939" s="227" t="s">
        <v>148</v>
      </c>
      <c r="H939" s="267" t="s">
        <v>178</v>
      </c>
      <c r="I939" s="237" t="s">
        <v>95</v>
      </c>
      <c r="J939" s="238"/>
      <c r="K939" s="238"/>
      <c r="L939" s="238"/>
      <c r="M939" s="238"/>
      <c r="N939" s="238"/>
      <c r="O939" s="238"/>
      <c r="P939" s="238">
        <v>50000</v>
      </c>
      <c r="Q939" s="238">
        <v>50000</v>
      </c>
      <c r="R939" s="238">
        <v>50000</v>
      </c>
      <c r="S939" s="238"/>
      <c r="T939" s="238"/>
      <c r="U939" s="238"/>
      <c r="V939" s="238">
        <f t="shared" si="1041"/>
        <v>50000</v>
      </c>
      <c r="W939" s="238">
        <f t="shared" si="1041"/>
        <v>50000</v>
      </c>
      <c r="X939" s="238">
        <f t="shared" si="1041"/>
        <v>50000</v>
      </c>
    </row>
    <row r="940" spans="1:24" s="229" customFormat="1" ht="25.5" hidden="1">
      <c r="A940" s="239" t="s">
        <v>388</v>
      </c>
      <c r="B940" s="227" t="s">
        <v>402</v>
      </c>
      <c r="C940" s="227" t="s">
        <v>16</v>
      </c>
      <c r="D940" s="227" t="s">
        <v>18</v>
      </c>
      <c r="E940" s="227" t="s">
        <v>13</v>
      </c>
      <c r="F940" s="227" t="s">
        <v>70</v>
      </c>
      <c r="G940" s="227" t="s">
        <v>148</v>
      </c>
      <c r="H940" s="267" t="s">
        <v>387</v>
      </c>
      <c r="I940" s="237"/>
      <c r="J940" s="238"/>
      <c r="K940" s="238"/>
      <c r="L940" s="238"/>
      <c r="M940" s="238"/>
      <c r="N940" s="238"/>
      <c r="O940" s="238"/>
      <c r="P940" s="238">
        <f>P941</f>
        <v>0</v>
      </c>
      <c r="Q940" s="238">
        <f t="shared" ref="Q940:U941" si="1049">Q941</f>
        <v>0</v>
      </c>
      <c r="R940" s="238">
        <f t="shared" si="1049"/>
        <v>450000</v>
      </c>
      <c r="S940" s="238">
        <f t="shared" si="1049"/>
        <v>0</v>
      </c>
      <c r="T940" s="238">
        <f t="shared" si="1049"/>
        <v>0</v>
      </c>
      <c r="U940" s="238">
        <f t="shared" si="1049"/>
        <v>0</v>
      </c>
      <c r="V940" s="238">
        <f t="shared" si="1041"/>
        <v>0</v>
      </c>
      <c r="W940" s="238">
        <f t="shared" si="1041"/>
        <v>0</v>
      </c>
      <c r="X940" s="238">
        <f t="shared" si="1041"/>
        <v>450000</v>
      </c>
    </row>
    <row r="941" spans="1:24" s="229" customFormat="1" ht="25.5" hidden="1">
      <c r="A941" s="240" t="s">
        <v>260</v>
      </c>
      <c r="B941" s="227" t="s">
        <v>402</v>
      </c>
      <c r="C941" s="227" t="s">
        <v>16</v>
      </c>
      <c r="D941" s="227" t="s">
        <v>18</v>
      </c>
      <c r="E941" s="227" t="s">
        <v>13</v>
      </c>
      <c r="F941" s="227" t="s">
        <v>70</v>
      </c>
      <c r="G941" s="227" t="s">
        <v>148</v>
      </c>
      <c r="H941" s="267" t="s">
        <v>387</v>
      </c>
      <c r="I941" s="237" t="s">
        <v>94</v>
      </c>
      <c r="J941" s="238"/>
      <c r="K941" s="238"/>
      <c r="L941" s="238"/>
      <c r="M941" s="238"/>
      <c r="N941" s="238"/>
      <c r="O941" s="238"/>
      <c r="P941" s="238">
        <f>P942</f>
        <v>0</v>
      </c>
      <c r="Q941" s="238">
        <f t="shared" si="1049"/>
        <v>0</v>
      </c>
      <c r="R941" s="238">
        <f t="shared" si="1049"/>
        <v>450000</v>
      </c>
      <c r="S941" s="238">
        <f t="shared" si="1049"/>
        <v>0</v>
      </c>
      <c r="T941" s="238">
        <f t="shared" si="1049"/>
        <v>0</v>
      </c>
      <c r="U941" s="238">
        <f t="shared" si="1049"/>
        <v>0</v>
      </c>
      <c r="V941" s="238">
        <f t="shared" si="1041"/>
        <v>0</v>
      </c>
      <c r="W941" s="238">
        <f t="shared" si="1041"/>
        <v>0</v>
      </c>
      <c r="X941" s="238">
        <f t="shared" si="1041"/>
        <v>450000</v>
      </c>
    </row>
    <row r="942" spans="1:24" s="229" customFormat="1" ht="25.5" hidden="1">
      <c r="A942" s="239" t="s">
        <v>98</v>
      </c>
      <c r="B942" s="227" t="s">
        <v>402</v>
      </c>
      <c r="C942" s="227" t="s">
        <v>16</v>
      </c>
      <c r="D942" s="227" t="s">
        <v>18</v>
      </c>
      <c r="E942" s="227" t="s">
        <v>13</v>
      </c>
      <c r="F942" s="227" t="s">
        <v>70</v>
      </c>
      <c r="G942" s="227" t="s">
        <v>148</v>
      </c>
      <c r="H942" s="267" t="s">
        <v>387</v>
      </c>
      <c r="I942" s="237" t="s">
        <v>95</v>
      </c>
      <c r="J942" s="238"/>
      <c r="K942" s="238"/>
      <c r="L942" s="238"/>
      <c r="M942" s="238"/>
      <c r="N942" s="238"/>
      <c r="O942" s="238"/>
      <c r="P942" s="238">
        <v>0</v>
      </c>
      <c r="Q942" s="238">
        <v>0</v>
      </c>
      <c r="R942" s="238">
        <v>450000</v>
      </c>
      <c r="S942" s="238"/>
      <c r="T942" s="238"/>
      <c r="U942" s="238"/>
      <c r="V942" s="238">
        <f t="shared" si="1041"/>
        <v>0</v>
      </c>
      <c r="W942" s="238">
        <f t="shared" si="1041"/>
        <v>0</v>
      </c>
      <c r="X942" s="238">
        <f t="shared" si="1041"/>
        <v>450000</v>
      </c>
    </row>
    <row r="943" spans="1:24" s="229" customFormat="1" hidden="1">
      <c r="A943" s="235" t="s">
        <v>83</v>
      </c>
      <c r="B943" s="227" t="s">
        <v>402</v>
      </c>
      <c r="C943" s="227" t="s">
        <v>16</v>
      </c>
      <c r="D943" s="227" t="s">
        <v>18</v>
      </c>
      <c r="E943" s="227" t="s">
        <v>82</v>
      </c>
      <c r="F943" s="227" t="s">
        <v>70</v>
      </c>
      <c r="G943" s="227" t="s">
        <v>148</v>
      </c>
      <c r="H943" s="267" t="s">
        <v>149</v>
      </c>
      <c r="I943" s="237"/>
      <c r="J943" s="238"/>
      <c r="K943" s="238"/>
      <c r="L943" s="238"/>
      <c r="M943" s="238"/>
      <c r="N943" s="238"/>
      <c r="O943" s="238"/>
      <c r="P943" s="238">
        <f>P944</f>
        <v>525200</v>
      </c>
      <c r="Q943" s="238">
        <f t="shared" ref="Q943:U945" si="1050">Q944</f>
        <v>530479.06999999995</v>
      </c>
      <c r="R943" s="238">
        <f t="shared" si="1050"/>
        <v>535783.86</v>
      </c>
      <c r="S943" s="238">
        <f t="shared" si="1050"/>
        <v>0</v>
      </c>
      <c r="T943" s="238">
        <f t="shared" si="1050"/>
        <v>0</v>
      </c>
      <c r="U943" s="238">
        <f t="shared" si="1050"/>
        <v>0</v>
      </c>
      <c r="V943" s="238">
        <f t="shared" si="1041"/>
        <v>525200</v>
      </c>
      <c r="W943" s="238">
        <f t="shared" si="1041"/>
        <v>530479.06999999995</v>
      </c>
      <c r="X943" s="238">
        <f t="shared" si="1041"/>
        <v>535783.86</v>
      </c>
    </row>
    <row r="944" spans="1:24" s="229" customFormat="1" hidden="1">
      <c r="A944" s="235" t="s">
        <v>346</v>
      </c>
      <c r="B944" s="227" t="s">
        <v>402</v>
      </c>
      <c r="C944" s="227" t="s">
        <v>16</v>
      </c>
      <c r="D944" s="227" t="s">
        <v>18</v>
      </c>
      <c r="E944" s="227" t="s">
        <v>82</v>
      </c>
      <c r="F944" s="227" t="s">
        <v>70</v>
      </c>
      <c r="G944" s="227" t="s">
        <v>148</v>
      </c>
      <c r="H944" s="267" t="s">
        <v>345</v>
      </c>
      <c r="I944" s="237"/>
      <c r="J944" s="238"/>
      <c r="K944" s="238"/>
      <c r="L944" s="238"/>
      <c r="M944" s="238"/>
      <c r="N944" s="238"/>
      <c r="O944" s="238"/>
      <c r="P944" s="238">
        <f>P945</f>
        <v>525200</v>
      </c>
      <c r="Q944" s="238">
        <f t="shared" si="1050"/>
        <v>530479.06999999995</v>
      </c>
      <c r="R944" s="238">
        <f t="shared" si="1050"/>
        <v>535783.86</v>
      </c>
      <c r="S944" s="238">
        <f t="shared" si="1050"/>
        <v>0</v>
      </c>
      <c r="T944" s="238">
        <f t="shared" si="1050"/>
        <v>0</v>
      </c>
      <c r="U944" s="238">
        <f t="shared" si="1050"/>
        <v>0</v>
      </c>
      <c r="V944" s="238">
        <f t="shared" si="1041"/>
        <v>525200</v>
      </c>
      <c r="W944" s="238">
        <f t="shared" si="1041"/>
        <v>530479.06999999995</v>
      </c>
      <c r="X944" s="238">
        <f t="shared" si="1041"/>
        <v>535783.86</v>
      </c>
    </row>
    <row r="945" spans="1:24" s="229" customFormat="1" ht="25.5" hidden="1">
      <c r="A945" s="268" t="s">
        <v>72</v>
      </c>
      <c r="B945" s="227" t="s">
        <v>402</v>
      </c>
      <c r="C945" s="227" t="s">
        <v>16</v>
      </c>
      <c r="D945" s="227" t="s">
        <v>18</v>
      </c>
      <c r="E945" s="227" t="s">
        <v>82</v>
      </c>
      <c r="F945" s="227" t="s">
        <v>70</v>
      </c>
      <c r="G945" s="227" t="s">
        <v>148</v>
      </c>
      <c r="H945" s="267" t="s">
        <v>345</v>
      </c>
      <c r="I945" s="237" t="s">
        <v>71</v>
      </c>
      <c r="J945" s="238"/>
      <c r="K945" s="238"/>
      <c r="L945" s="238"/>
      <c r="M945" s="238"/>
      <c r="N945" s="238"/>
      <c r="O945" s="238"/>
      <c r="P945" s="238">
        <f>P946</f>
        <v>525200</v>
      </c>
      <c r="Q945" s="238">
        <f t="shared" si="1050"/>
        <v>530479.06999999995</v>
      </c>
      <c r="R945" s="238">
        <f t="shared" si="1050"/>
        <v>535783.86</v>
      </c>
      <c r="S945" s="238">
        <f t="shared" si="1050"/>
        <v>0</v>
      </c>
      <c r="T945" s="238">
        <f t="shared" si="1050"/>
        <v>0</v>
      </c>
      <c r="U945" s="238">
        <f t="shared" si="1050"/>
        <v>0</v>
      </c>
      <c r="V945" s="238">
        <f t="shared" ref="V945:X960" si="1051">P945+S945</f>
        <v>525200</v>
      </c>
      <c r="W945" s="238">
        <f t="shared" si="1051"/>
        <v>530479.06999999995</v>
      </c>
      <c r="X945" s="238">
        <f t="shared" si="1051"/>
        <v>535783.86</v>
      </c>
    </row>
    <row r="946" spans="1:24" s="229" customFormat="1" hidden="1">
      <c r="A946" s="235" t="s">
        <v>249</v>
      </c>
      <c r="B946" s="227" t="s">
        <v>402</v>
      </c>
      <c r="C946" s="227" t="s">
        <v>16</v>
      </c>
      <c r="D946" s="227" t="s">
        <v>18</v>
      </c>
      <c r="E946" s="227" t="s">
        <v>82</v>
      </c>
      <c r="F946" s="227" t="s">
        <v>70</v>
      </c>
      <c r="G946" s="227" t="s">
        <v>148</v>
      </c>
      <c r="H946" s="267" t="s">
        <v>345</v>
      </c>
      <c r="I946" s="237" t="s">
        <v>246</v>
      </c>
      <c r="J946" s="238"/>
      <c r="K946" s="238"/>
      <c r="L946" s="238"/>
      <c r="M946" s="238"/>
      <c r="N946" s="238"/>
      <c r="O946" s="238"/>
      <c r="P946" s="238">
        <v>525200</v>
      </c>
      <c r="Q946" s="238">
        <v>530479.06999999995</v>
      </c>
      <c r="R946" s="238">
        <v>535783.86</v>
      </c>
      <c r="S946" s="238"/>
      <c r="T946" s="238"/>
      <c r="U946" s="238"/>
      <c r="V946" s="238">
        <f t="shared" si="1051"/>
        <v>525200</v>
      </c>
      <c r="W946" s="238">
        <f t="shared" si="1051"/>
        <v>530479.06999999995</v>
      </c>
      <c r="X946" s="238">
        <f t="shared" si="1051"/>
        <v>535783.86</v>
      </c>
    </row>
    <row r="947" spans="1:24" s="229" customFormat="1" hidden="1">
      <c r="A947" s="230" t="s">
        <v>23</v>
      </c>
      <c r="B947" s="232" t="s">
        <v>402</v>
      </c>
      <c r="C947" s="232" t="s">
        <v>16</v>
      </c>
      <c r="D947" s="232" t="s">
        <v>27</v>
      </c>
      <c r="E947" s="232"/>
      <c r="F947" s="232"/>
      <c r="G947" s="232"/>
      <c r="H947" s="269"/>
      <c r="I947" s="233"/>
      <c r="J947" s="234"/>
      <c r="K947" s="234"/>
      <c r="L947" s="234"/>
      <c r="M947" s="234"/>
      <c r="N947" s="234"/>
      <c r="O947" s="234"/>
      <c r="P947" s="234">
        <f>P948</f>
        <v>14284458.140000001</v>
      </c>
      <c r="Q947" s="234">
        <f t="shared" ref="Q947:U947" si="1052">Q948</f>
        <v>505800</v>
      </c>
      <c r="R947" s="234">
        <f t="shared" si="1052"/>
        <v>505800</v>
      </c>
      <c r="S947" s="234">
        <f t="shared" si="1052"/>
        <v>9297641.7899999991</v>
      </c>
      <c r="T947" s="234">
        <f t="shared" si="1052"/>
        <v>0</v>
      </c>
      <c r="U947" s="234">
        <f t="shared" si="1052"/>
        <v>0</v>
      </c>
      <c r="V947" s="234">
        <f t="shared" si="1051"/>
        <v>23582099.93</v>
      </c>
      <c r="W947" s="234">
        <f t="shared" si="1051"/>
        <v>505800</v>
      </c>
      <c r="X947" s="234">
        <f t="shared" si="1051"/>
        <v>505800</v>
      </c>
    </row>
    <row r="948" spans="1:24" s="229" customFormat="1" ht="38.25" hidden="1">
      <c r="A948" s="235" t="s">
        <v>396</v>
      </c>
      <c r="B948" s="227" t="s">
        <v>402</v>
      </c>
      <c r="C948" s="227" t="s">
        <v>16</v>
      </c>
      <c r="D948" s="227" t="s">
        <v>27</v>
      </c>
      <c r="E948" s="227" t="s">
        <v>18</v>
      </c>
      <c r="F948" s="227" t="s">
        <v>70</v>
      </c>
      <c r="G948" s="227" t="s">
        <v>148</v>
      </c>
      <c r="H948" s="267" t="s">
        <v>149</v>
      </c>
      <c r="I948" s="237"/>
      <c r="J948" s="238"/>
      <c r="K948" s="238"/>
      <c r="L948" s="238"/>
      <c r="M948" s="238"/>
      <c r="N948" s="238"/>
      <c r="O948" s="238"/>
      <c r="P948" s="238">
        <f>P949+P952+P957+P960</f>
        <v>14284458.140000001</v>
      </c>
      <c r="Q948" s="238">
        <f t="shared" ref="Q948:R948" si="1053">Q949+Q952+Q957+Q960</f>
        <v>505800</v>
      </c>
      <c r="R948" s="238">
        <f t="shared" si="1053"/>
        <v>505800</v>
      </c>
      <c r="S948" s="238">
        <f>S949+S952+S957+S960+S963</f>
        <v>9297641.7899999991</v>
      </c>
      <c r="T948" s="238">
        <f t="shared" ref="T948:U948" si="1054">T949+T952+T957+T960+T963</f>
        <v>0</v>
      </c>
      <c r="U948" s="238">
        <f t="shared" si="1054"/>
        <v>0</v>
      </c>
      <c r="V948" s="238">
        <f t="shared" si="1051"/>
        <v>23582099.93</v>
      </c>
      <c r="W948" s="238">
        <f t="shared" si="1051"/>
        <v>505800</v>
      </c>
      <c r="X948" s="238">
        <f t="shared" si="1051"/>
        <v>505800</v>
      </c>
    </row>
    <row r="949" spans="1:24" s="229" customFormat="1" ht="38.25" hidden="1">
      <c r="A949" s="270" t="s">
        <v>374</v>
      </c>
      <c r="B949" s="227" t="s">
        <v>402</v>
      </c>
      <c r="C949" s="227" t="s">
        <v>16</v>
      </c>
      <c r="D949" s="227" t="s">
        <v>27</v>
      </c>
      <c r="E949" s="227" t="s">
        <v>18</v>
      </c>
      <c r="F949" s="227" t="s">
        <v>70</v>
      </c>
      <c r="G949" s="227" t="s">
        <v>148</v>
      </c>
      <c r="H949" s="267" t="s">
        <v>267</v>
      </c>
      <c r="I949" s="237"/>
      <c r="J949" s="238"/>
      <c r="K949" s="238"/>
      <c r="L949" s="238"/>
      <c r="M949" s="238"/>
      <c r="N949" s="238"/>
      <c r="O949" s="238"/>
      <c r="P949" s="238">
        <f>P950</f>
        <v>50000</v>
      </c>
      <c r="Q949" s="238">
        <f t="shared" ref="Q949:U950" si="1055">Q950</f>
        <v>0</v>
      </c>
      <c r="R949" s="238">
        <f t="shared" si="1055"/>
        <v>0</v>
      </c>
      <c r="S949" s="238">
        <f t="shared" si="1055"/>
        <v>0</v>
      </c>
      <c r="T949" s="238">
        <f t="shared" si="1055"/>
        <v>0</v>
      </c>
      <c r="U949" s="238">
        <f t="shared" si="1055"/>
        <v>0</v>
      </c>
      <c r="V949" s="238">
        <f t="shared" si="1051"/>
        <v>50000</v>
      </c>
      <c r="W949" s="238">
        <f t="shared" si="1051"/>
        <v>0</v>
      </c>
      <c r="X949" s="238">
        <f t="shared" si="1051"/>
        <v>0</v>
      </c>
    </row>
    <row r="950" spans="1:24" s="229" customFormat="1" ht="25.5" hidden="1">
      <c r="A950" s="246" t="s">
        <v>260</v>
      </c>
      <c r="B950" s="227" t="s">
        <v>402</v>
      </c>
      <c r="C950" s="227" t="s">
        <v>16</v>
      </c>
      <c r="D950" s="227" t="s">
        <v>27</v>
      </c>
      <c r="E950" s="227" t="s">
        <v>18</v>
      </c>
      <c r="F950" s="227" t="s">
        <v>70</v>
      </c>
      <c r="G950" s="227" t="s">
        <v>148</v>
      </c>
      <c r="H950" s="267" t="s">
        <v>267</v>
      </c>
      <c r="I950" s="237" t="s">
        <v>94</v>
      </c>
      <c r="J950" s="238"/>
      <c r="K950" s="238"/>
      <c r="L950" s="238"/>
      <c r="M950" s="238"/>
      <c r="N950" s="238"/>
      <c r="O950" s="238"/>
      <c r="P950" s="238">
        <f>P951</f>
        <v>50000</v>
      </c>
      <c r="Q950" s="238">
        <f t="shared" si="1055"/>
        <v>0</v>
      </c>
      <c r="R950" s="238">
        <f t="shared" si="1055"/>
        <v>0</v>
      </c>
      <c r="S950" s="238">
        <f t="shared" si="1055"/>
        <v>0</v>
      </c>
      <c r="T950" s="238">
        <f t="shared" si="1055"/>
        <v>0</v>
      </c>
      <c r="U950" s="238">
        <f t="shared" si="1055"/>
        <v>0</v>
      </c>
      <c r="V950" s="238">
        <f t="shared" si="1051"/>
        <v>50000</v>
      </c>
      <c r="W950" s="238">
        <f t="shared" si="1051"/>
        <v>0</v>
      </c>
      <c r="X950" s="238">
        <f t="shared" si="1051"/>
        <v>0</v>
      </c>
    </row>
    <row r="951" spans="1:24" s="229" customFormat="1" ht="25.5" hidden="1">
      <c r="A951" s="239" t="s">
        <v>98</v>
      </c>
      <c r="B951" s="227" t="s">
        <v>402</v>
      </c>
      <c r="C951" s="227" t="s">
        <v>16</v>
      </c>
      <c r="D951" s="227" t="s">
        <v>27</v>
      </c>
      <c r="E951" s="227" t="s">
        <v>18</v>
      </c>
      <c r="F951" s="227" t="s">
        <v>70</v>
      </c>
      <c r="G951" s="227" t="s">
        <v>148</v>
      </c>
      <c r="H951" s="267" t="s">
        <v>267</v>
      </c>
      <c r="I951" s="237" t="s">
        <v>95</v>
      </c>
      <c r="J951" s="238"/>
      <c r="K951" s="238"/>
      <c r="L951" s="238"/>
      <c r="M951" s="238"/>
      <c r="N951" s="238"/>
      <c r="O951" s="238"/>
      <c r="P951" s="238">
        <v>50000</v>
      </c>
      <c r="Q951" s="238">
        <v>0</v>
      </c>
      <c r="R951" s="238">
        <v>0</v>
      </c>
      <c r="S951" s="238"/>
      <c r="T951" s="238"/>
      <c r="U951" s="238"/>
      <c r="V951" s="238">
        <f t="shared" si="1051"/>
        <v>50000</v>
      </c>
      <c r="W951" s="238">
        <f t="shared" si="1051"/>
        <v>0</v>
      </c>
      <c r="X951" s="238">
        <f t="shared" si="1051"/>
        <v>0</v>
      </c>
    </row>
    <row r="952" spans="1:24" s="229" customFormat="1" ht="38.25" hidden="1">
      <c r="A952" s="271" t="s">
        <v>375</v>
      </c>
      <c r="B952" s="227" t="s">
        <v>402</v>
      </c>
      <c r="C952" s="227" t="s">
        <v>16</v>
      </c>
      <c r="D952" s="227" t="s">
        <v>27</v>
      </c>
      <c r="E952" s="227" t="s">
        <v>18</v>
      </c>
      <c r="F952" s="227" t="s">
        <v>70</v>
      </c>
      <c r="G952" s="227" t="s">
        <v>148</v>
      </c>
      <c r="H952" s="267" t="s">
        <v>347</v>
      </c>
      <c r="I952" s="237"/>
      <c r="J952" s="238"/>
      <c r="K952" s="238"/>
      <c r="L952" s="238"/>
      <c r="M952" s="238"/>
      <c r="N952" s="238"/>
      <c r="O952" s="238"/>
      <c r="P952" s="238">
        <f>P953+P955</f>
        <v>885307.29</v>
      </c>
      <c r="Q952" s="238">
        <f t="shared" ref="Q952:U952" si="1056">Q953+Q955</f>
        <v>505800</v>
      </c>
      <c r="R952" s="238">
        <f t="shared" si="1056"/>
        <v>505800</v>
      </c>
      <c r="S952" s="238">
        <f t="shared" si="1056"/>
        <v>0</v>
      </c>
      <c r="T952" s="238">
        <f t="shared" si="1056"/>
        <v>0</v>
      </c>
      <c r="U952" s="238">
        <f t="shared" si="1056"/>
        <v>0</v>
      </c>
      <c r="V952" s="238">
        <f t="shared" si="1051"/>
        <v>885307.29</v>
      </c>
      <c r="W952" s="238">
        <f t="shared" si="1051"/>
        <v>505800</v>
      </c>
      <c r="X952" s="238">
        <f t="shared" si="1051"/>
        <v>505800</v>
      </c>
    </row>
    <row r="953" spans="1:24" s="229" customFormat="1" ht="25.5" hidden="1">
      <c r="A953" s="240" t="s">
        <v>260</v>
      </c>
      <c r="B953" s="227" t="s">
        <v>402</v>
      </c>
      <c r="C953" s="227" t="s">
        <v>16</v>
      </c>
      <c r="D953" s="227" t="s">
        <v>27</v>
      </c>
      <c r="E953" s="227" t="s">
        <v>18</v>
      </c>
      <c r="F953" s="227" t="s">
        <v>70</v>
      </c>
      <c r="G953" s="227" t="s">
        <v>148</v>
      </c>
      <c r="H953" s="267" t="s">
        <v>347</v>
      </c>
      <c r="I953" s="237" t="s">
        <v>94</v>
      </c>
      <c r="J953" s="238"/>
      <c r="K953" s="238"/>
      <c r="L953" s="238"/>
      <c r="M953" s="238"/>
      <c r="N953" s="238"/>
      <c r="O953" s="238"/>
      <c r="P953" s="238">
        <f>P954</f>
        <v>836407.29</v>
      </c>
      <c r="Q953" s="238">
        <f t="shared" ref="Q953:U953" si="1057">Q954</f>
        <v>0</v>
      </c>
      <c r="R953" s="238">
        <f t="shared" si="1057"/>
        <v>0</v>
      </c>
      <c r="S953" s="238">
        <f t="shared" si="1057"/>
        <v>0</v>
      </c>
      <c r="T953" s="238">
        <f t="shared" si="1057"/>
        <v>0</v>
      </c>
      <c r="U953" s="238">
        <f t="shared" si="1057"/>
        <v>0</v>
      </c>
      <c r="V953" s="238">
        <f t="shared" si="1051"/>
        <v>836407.29</v>
      </c>
      <c r="W953" s="238">
        <f t="shared" si="1051"/>
        <v>0</v>
      </c>
      <c r="X953" s="238">
        <f t="shared" si="1051"/>
        <v>0</v>
      </c>
    </row>
    <row r="954" spans="1:24" s="229" customFormat="1" ht="25.5" hidden="1">
      <c r="A954" s="239" t="s">
        <v>98</v>
      </c>
      <c r="B954" s="227" t="s">
        <v>402</v>
      </c>
      <c r="C954" s="227" t="s">
        <v>16</v>
      </c>
      <c r="D954" s="227" t="s">
        <v>27</v>
      </c>
      <c r="E954" s="227" t="s">
        <v>18</v>
      </c>
      <c r="F954" s="227" t="s">
        <v>70</v>
      </c>
      <c r="G954" s="227" t="s">
        <v>148</v>
      </c>
      <c r="H954" s="267" t="s">
        <v>347</v>
      </c>
      <c r="I954" s="237" t="s">
        <v>95</v>
      </c>
      <c r="J954" s="238"/>
      <c r="K954" s="238"/>
      <c r="L954" s="238"/>
      <c r="M954" s="238"/>
      <c r="N954" s="238"/>
      <c r="O954" s="238"/>
      <c r="P954" s="238">
        <v>836407.29</v>
      </c>
      <c r="Q954" s="238"/>
      <c r="R954" s="238"/>
      <c r="S954" s="238"/>
      <c r="T954" s="238"/>
      <c r="U954" s="238"/>
      <c r="V954" s="238">
        <f t="shared" si="1051"/>
        <v>836407.29</v>
      </c>
      <c r="W954" s="238">
        <f t="shared" si="1051"/>
        <v>0</v>
      </c>
      <c r="X954" s="238">
        <f t="shared" si="1051"/>
        <v>0</v>
      </c>
    </row>
    <row r="955" spans="1:24" s="229" customFormat="1" hidden="1">
      <c r="A955" s="239" t="s">
        <v>80</v>
      </c>
      <c r="B955" s="227" t="s">
        <v>402</v>
      </c>
      <c r="C955" s="227" t="s">
        <v>16</v>
      </c>
      <c r="D955" s="227" t="s">
        <v>27</v>
      </c>
      <c r="E955" s="227" t="s">
        <v>18</v>
      </c>
      <c r="F955" s="227" t="s">
        <v>70</v>
      </c>
      <c r="G955" s="227" t="s">
        <v>148</v>
      </c>
      <c r="H955" s="267" t="s">
        <v>347</v>
      </c>
      <c r="I955" s="237" t="s">
        <v>77</v>
      </c>
      <c r="J955" s="238"/>
      <c r="K955" s="238"/>
      <c r="L955" s="238"/>
      <c r="M955" s="238"/>
      <c r="N955" s="238"/>
      <c r="O955" s="238"/>
      <c r="P955" s="238">
        <f>P956</f>
        <v>48900</v>
      </c>
      <c r="Q955" s="238">
        <f t="shared" ref="Q955:U955" si="1058">Q956</f>
        <v>505800</v>
      </c>
      <c r="R955" s="238">
        <f t="shared" si="1058"/>
        <v>505800</v>
      </c>
      <c r="S955" s="238">
        <f t="shared" si="1058"/>
        <v>0</v>
      </c>
      <c r="T955" s="238">
        <f t="shared" si="1058"/>
        <v>0</v>
      </c>
      <c r="U955" s="238">
        <f t="shared" si="1058"/>
        <v>0</v>
      </c>
      <c r="V955" s="238">
        <f t="shared" si="1051"/>
        <v>48900</v>
      </c>
      <c r="W955" s="238">
        <f t="shared" si="1051"/>
        <v>505800</v>
      </c>
      <c r="X955" s="238">
        <f t="shared" si="1051"/>
        <v>505800</v>
      </c>
    </row>
    <row r="956" spans="1:24" s="229" customFormat="1" ht="25.5" hidden="1">
      <c r="A956" s="246" t="s">
        <v>81</v>
      </c>
      <c r="B956" s="227" t="s">
        <v>402</v>
      </c>
      <c r="C956" s="227" t="s">
        <v>16</v>
      </c>
      <c r="D956" s="227" t="s">
        <v>27</v>
      </c>
      <c r="E956" s="227" t="s">
        <v>18</v>
      </c>
      <c r="F956" s="227" t="s">
        <v>70</v>
      </c>
      <c r="G956" s="227" t="s">
        <v>148</v>
      </c>
      <c r="H956" s="267" t="s">
        <v>347</v>
      </c>
      <c r="I956" s="237" t="s">
        <v>78</v>
      </c>
      <c r="J956" s="238"/>
      <c r="K956" s="238"/>
      <c r="L956" s="238"/>
      <c r="M956" s="238"/>
      <c r="N956" s="238"/>
      <c r="O956" s="238"/>
      <c r="P956" s="238">
        <v>48900</v>
      </c>
      <c r="Q956" s="238">
        <v>505800</v>
      </c>
      <c r="R956" s="238">
        <v>505800</v>
      </c>
      <c r="S956" s="238"/>
      <c r="T956" s="238"/>
      <c r="U956" s="238"/>
      <c r="V956" s="238">
        <f t="shared" si="1051"/>
        <v>48900</v>
      </c>
      <c r="W956" s="238">
        <f t="shared" si="1051"/>
        <v>505800</v>
      </c>
      <c r="X956" s="238">
        <f t="shared" si="1051"/>
        <v>505800</v>
      </c>
    </row>
    <row r="957" spans="1:24" s="229" customFormat="1" ht="25.5" hidden="1">
      <c r="A957" s="241" t="s">
        <v>420</v>
      </c>
      <c r="B957" s="227" t="s">
        <v>402</v>
      </c>
      <c r="C957" s="227" t="s">
        <v>16</v>
      </c>
      <c r="D957" s="227" t="s">
        <v>27</v>
      </c>
      <c r="E957" s="227" t="s">
        <v>18</v>
      </c>
      <c r="F957" s="227" t="s">
        <v>70</v>
      </c>
      <c r="G957" s="227" t="s">
        <v>148</v>
      </c>
      <c r="H957" s="267" t="s">
        <v>419</v>
      </c>
      <c r="I957" s="237"/>
      <c r="J957" s="238"/>
      <c r="K957" s="238"/>
      <c r="L957" s="238"/>
      <c r="M957" s="238"/>
      <c r="N957" s="238"/>
      <c r="O957" s="238"/>
      <c r="P957" s="238">
        <f>P958</f>
        <v>3349150.85</v>
      </c>
      <c r="Q957" s="238">
        <f t="shared" ref="Q957:U958" si="1059">Q958</f>
        <v>0</v>
      </c>
      <c r="R957" s="238">
        <f t="shared" si="1059"/>
        <v>0</v>
      </c>
      <c r="S957" s="238">
        <f t="shared" si="1059"/>
        <v>0</v>
      </c>
      <c r="T957" s="238">
        <f t="shared" si="1059"/>
        <v>0</v>
      </c>
      <c r="U957" s="238">
        <f t="shared" si="1059"/>
        <v>0</v>
      </c>
      <c r="V957" s="238">
        <f t="shared" si="1051"/>
        <v>3349150.85</v>
      </c>
      <c r="W957" s="238">
        <f t="shared" si="1051"/>
        <v>0</v>
      </c>
      <c r="X957" s="238">
        <f t="shared" si="1051"/>
        <v>0</v>
      </c>
    </row>
    <row r="958" spans="1:24" s="229" customFormat="1" ht="25.5" hidden="1">
      <c r="A958" s="240" t="s">
        <v>260</v>
      </c>
      <c r="B958" s="227" t="s">
        <v>402</v>
      </c>
      <c r="C958" s="227" t="s">
        <v>16</v>
      </c>
      <c r="D958" s="227" t="s">
        <v>27</v>
      </c>
      <c r="E958" s="227" t="s">
        <v>18</v>
      </c>
      <c r="F958" s="227" t="s">
        <v>70</v>
      </c>
      <c r="G958" s="227" t="s">
        <v>148</v>
      </c>
      <c r="H958" s="267" t="s">
        <v>419</v>
      </c>
      <c r="I958" s="237" t="s">
        <v>94</v>
      </c>
      <c r="J958" s="238"/>
      <c r="K958" s="238"/>
      <c r="L958" s="238"/>
      <c r="M958" s="238"/>
      <c r="N958" s="238"/>
      <c r="O958" s="238"/>
      <c r="P958" s="238">
        <f>P959</f>
        <v>3349150.85</v>
      </c>
      <c r="Q958" s="238">
        <f t="shared" si="1059"/>
        <v>0</v>
      </c>
      <c r="R958" s="238">
        <f t="shared" si="1059"/>
        <v>0</v>
      </c>
      <c r="S958" s="238">
        <f t="shared" si="1059"/>
        <v>0</v>
      </c>
      <c r="T958" s="238">
        <f t="shared" si="1059"/>
        <v>0</v>
      </c>
      <c r="U958" s="238">
        <f t="shared" si="1059"/>
        <v>0</v>
      </c>
      <c r="V958" s="238">
        <f t="shared" si="1051"/>
        <v>3349150.85</v>
      </c>
      <c r="W958" s="238">
        <f t="shared" si="1051"/>
        <v>0</v>
      </c>
      <c r="X958" s="238">
        <f t="shared" si="1051"/>
        <v>0</v>
      </c>
    </row>
    <row r="959" spans="1:24" s="229" customFormat="1" ht="25.5" hidden="1">
      <c r="A959" s="239" t="s">
        <v>98</v>
      </c>
      <c r="B959" s="227" t="s">
        <v>402</v>
      </c>
      <c r="C959" s="227" t="s">
        <v>16</v>
      </c>
      <c r="D959" s="227" t="s">
        <v>27</v>
      </c>
      <c r="E959" s="227" t="s">
        <v>18</v>
      </c>
      <c r="F959" s="227" t="s">
        <v>70</v>
      </c>
      <c r="G959" s="227" t="s">
        <v>148</v>
      </c>
      <c r="H959" s="267" t="s">
        <v>419</v>
      </c>
      <c r="I959" s="237" t="s">
        <v>95</v>
      </c>
      <c r="J959" s="238"/>
      <c r="K959" s="238"/>
      <c r="L959" s="238"/>
      <c r="M959" s="238"/>
      <c r="N959" s="238"/>
      <c r="O959" s="238"/>
      <c r="P959" s="238">
        <v>3349150.85</v>
      </c>
      <c r="Q959" s="238">
        <v>0</v>
      </c>
      <c r="R959" s="238">
        <v>0</v>
      </c>
      <c r="S959" s="238"/>
      <c r="T959" s="238"/>
      <c r="U959" s="238"/>
      <c r="V959" s="238">
        <f t="shared" si="1051"/>
        <v>3349150.85</v>
      </c>
      <c r="W959" s="238">
        <f t="shared" si="1051"/>
        <v>0</v>
      </c>
      <c r="X959" s="238">
        <f t="shared" si="1051"/>
        <v>0</v>
      </c>
    </row>
    <row r="960" spans="1:24" s="229" customFormat="1" ht="25.5" hidden="1">
      <c r="A960" s="268" t="s">
        <v>312</v>
      </c>
      <c r="B960" s="227" t="s">
        <v>402</v>
      </c>
      <c r="C960" s="227" t="s">
        <v>16</v>
      </c>
      <c r="D960" s="227" t="s">
        <v>27</v>
      </c>
      <c r="E960" s="227" t="s">
        <v>18</v>
      </c>
      <c r="F960" s="227" t="s">
        <v>70</v>
      </c>
      <c r="G960" s="227" t="s">
        <v>148</v>
      </c>
      <c r="H960" s="267" t="s">
        <v>311</v>
      </c>
      <c r="I960" s="272"/>
      <c r="J960" s="238"/>
      <c r="K960" s="238"/>
      <c r="L960" s="238"/>
      <c r="M960" s="238"/>
      <c r="N960" s="238"/>
      <c r="O960" s="238"/>
      <c r="P960" s="238">
        <f>P961</f>
        <v>10000000</v>
      </c>
      <c r="Q960" s="238">
        <f t="shared" ref="Q960:U961" si="1060">Q961</f>
        <v>0</v>
      </c>
      <c r="R960" s="238">
        <f t="shared" si="1060"/>
        <v>0</v>
      </c>
      <c r="S960" s="238">
        <f t="shared" si="1060"/>
        <v>0</v>
      </c>
      <c r="T960" s="238">
        <f t="shared" si="1060"/>
        <v>0</v>
      </c>
      <c r="U960" s="238">
        <f t="shared" si="1060"/>
        <v>0</v>
      </c>
      <c r="V960" s="238">
        <f t="shared" si="1051"/>
        <v>10000000</v>
      </c>
      <c r="W960" s="238">
        <f t="shared" si="1051"/>
        <v>0</v>
      </c>
      <c r="X960" s="238">
        <f t="shared" si="1051"/>
        <v>0</v>
      </c>
    </row>
    <row r="961" spans="1:24" s="229" customFormat="1" ht="25.5" hidden="1">
      <c r="A961" s="240" t="s">
        <v>260</v>
      </c>
      <c r="B961" s="227" t="s">
        <v>402</v>
      </c>
      <c r="C961" s="227" t="s">
        <v>16</v>
      </c>
      <c r="D961" s="227" t="s">
        <v>27</v>
      </c>
      <c r="E961" s="227" t="s">
        <v>18</v>
      </c>
      <c r="F961" s="227" t="s">
        <v>70</v>
      </c>
      <c r="G961" s="227" t="s">
        <v>148</v>
      </c>
      <c r="H961" s="267" t="s">
        <v>311</v>
      </c>
      <c r="I961" s="272" t="s">
        <v>94</v>
      </c>
      <c r="J961" s="238"/>
      <c r="K961" s="238"/>
      <c r="L961" s="238"/>
      <c r="M961" s="238"/>
      <c r="N961" s="238"/>
      <c r="O961" s="238"/>
      <c r="P961" s="238">
        <f>P962</f>
        <v>10000000</v>
      </c>
      <c r="Q961" s="238">
        <f t="shared" si="1060"/>
        <v>0</v>
      </c>
      <c r="R961" s="238">
        <f t="shared" si="1060"/>
        <v>0</v>
      </c>
      <c r="S961" s="238">
        <f t="shared" si="1060"/>
        <v>0</v>
      </c>
      <c r="T961" s="238">
        <f t="shared" si="1060"/>
        <v>0</v>
      </c>
      <c r="U961" s="238">
        <f t="shared" si="1060"/>
        <v>0</v>
      </c>
      <c r="V961" s="238">
        <f t="shared" ref="V961:X979" si="1061">P961+S961</f>
        <v>10000000</v>
      </c>
      <c r="W961" s="238">
        <f t="shared" si="1061"/>
        <v>0</v>
      </c>
      <c r="X961" s="238">
        <f t="shared" si="1061"/>
        <v>0</v>
      </c>
    </row>
    <row r="962" spans="1:24" s="229" customFormat="1" ht="25.5" hidden="1">
      <c r="A962" s="239" t="s">
        <v>98</v>
      </c>
      <c r="B962" s="227" t="s">
        <v>402</v>
      </c>
      <c r="C962" s="227" t="s">
        <v>16</v>
      </c>
      <c r="D962" s="227" t="s">
        <v>27</v>
      </c>
      <c r="E962" s="227" t="s">
        <v>18</v>
      </c>
      <c r="F962" s="227" t="s">
        <v>70</v>
      </c>
      <c r="G962" s="227" t="s">
        <v>148</v>
      </c>
      <c r="H962" s="267" t="s">
        <v>311</v>
      </c>
      <c r="I962" s="272" t="s">
        <v>95</v>
      </c>
      <c r="J962" s="238"/>
      <c r="K962" s="238"/>
      <c r="L962" s="238"/>
      <c r="M962" s="238"/>
      <c r="N962" s="238"/>
      <c r="O962" s="238"/>
      <c r="P962" s="238">
        <v>10000000</v>
      </c>
      <c r="Q962" s="238">
        <f t="shared" ref="Q962:R962" si="1062">K962+N962</f>
        <v>0</v>
      </c>
      <c r="R962" s="238">
        <f t="shared" si="1062"/>
        <v>0</v>
      </c>
      <c r="S962" s="238"/>
      <c r="T962" s="238"/>
      <c r="U962" s="238"/>
      <c r="V962" s="238">
        <f t="shared" si="1061"/>
        <v>10000000</v>
      </c>
      <c r="W962" s="238">
        <f t="shared" si="1061"/>
        <v>0</v>
      </c>
      <c r="X962" s="238">
        <f t="shared" si="1061"/>
        <v>0</v>
      </c>
    </row>
    <row r="963" spans="1:24" s="229" customFormat="1" ht="25.5" hidden="1">
      <c r="A963" s="302" t="s">
        <v>471</v>
      </c>
      <c r="B963" s="227" t="s">
        <v>402</v>
      </c>
      <c r="C963" s="227" t="s">
        <v>16</v>
      </c>
      <c r="D963" s="227" t="s">
        <v>27</v>
      </c>
      <c r="E963" s="227" t="s">
        <v>18</v>
      </c>
      <c r="F963" s="227" t="s">
        <v>70</v>
      </c>
      <c r="G963" s="227" t="s">
        <v>148</v>
      </c>
      <c r="H963" s="267" t="s">
        <v>470</v>
      </c>
      <c r="I963" s="272"/>
      <c r="J963" s="238"/>
      <c r="K963" s="238"/>
      <c r="L963" s="238"/>
      <c r="M963" s="238"/>
      <c r="N963" s="238"/>
      <c r="O963" s="238"/>
      <c r="P963" s="238"/>
      <c r="Q963" s="238"/>
      <c r="R963" s="238"/>
      <c r="S963" s="238">
        <f>S964</f>
        <v>9297641.7899999991</v>
      </c>
      <c r="T963" s="238">
        <f t="shared" ref="T963:U964" si="1063">T964</f>
        <v>0</v>
      </c>
      <c r="U963" s="238">
        <f t="shared" si="1063"/>
        <v>0</v>
      </c>
      <c r="V963" s="238">
        <f t="shared" ref="V963:V965" si="1064">P963+S963</f>
        <v>9297641.7899999991</v>
      </c>
      <c r="W963" s="238">
        <f t="shared" ref="W963:W965" si="1065">Q963+T963</f>
        <v>0</v>
      </c>
      <c r="X963" s="238">
        <f t="shared" ref="X963:X965" si="1066">R963+U963</f>
        <v>0</v>
      </c>
    </row>
    <row r="964" spans="1:24" s="229" customFormat="1" ht="25.5" hidden="1">
      <c r="A964" s="240" t="s">
        <v>260</v>
      </c>
      <c r="B964" s="227" t="s">
        <v>402</v>
      </c>
      <c r="C964" s="227" t="s">
        <v>16</v>
      </c>
      <c r="D964" s="227" t="s">
        <v>27</v>
      </c>
      <c r="E964" s="227" t="s">
        <v>18</v>
      </c>
      <c r="F964" s="227" t="s">
        <v>70</v>
      </c>
      <c r="G964" s="227" t="s">
        <v>148</v>
      </c>
      <c r="H964" s="267" t="s">
        <v>470</v>
      </c>
      <c r="I964" s="272" t="s">
        <v>94</v>
      </c>
      <c r="J964" s="238"/>
      <c r="K964" s="238"/>
      <c r="L964" s="238"/>
      <c r="M964" s="238"/>
      <c r="N964" s="238"/>
      <c r="O964" s="238"/>
      <c r="P964" s="238"/>
      <c r="Q964" s="238"/>
      <c r="R964" s="238"/>
      <c r="S964" s="238">
        <f>S965</f>
        <v>9297641.7899999991</v>
      </c>
      <c r="T964" s="238">
        <f t="shared" si="1063"/>
        <v>0</v>
      </c>
      <c r="U964" s="238">
        <f t="shared" si="1063"/>
        <v>0</v>
      </c>
      <c r="V964" s="238">
        <f t="shared" si="1064"/>
        <v>9297641.7899999991</v>
      </c>
      <c r="W964" s="238">
        <f t="shared" si="1065"/>
        <v>0</v>
      </c>
      <c r="X964" s="238">
        <f t="shared" si="1066"/>
        <v>0</v>
      </c>
    </row>
    <row r="965" spans="1:24" s="229" customFormat="1" ht="25.5" hidden="1">
      <c r="A965" s="239" t="s">
        <v>98</v>
      </c>
      <c r="B965" s="227" t="s">
        <v>402</v>
      </c>
      <c r="C965" s="227" t="s">
        <v>16</v>
      </c>
      <c r="D965" s="227" t="s">
        <v>27</v>
      </c>
      <c r="E965" s="227" t="s">
        <v>18</v>
      </c>
      <c r="F965" s="227" t="s">
        <v>70</v>
      </c>
      <c r="G965" s="227" t="s">
        <v>148</v>
      </c>
      <c r="H965" s="267" t="s">
        <v>470</v>
      </c>
      <c r="I965" s="272" t="s">
        <v>95</v>
      </c>
      <c r="J965" s="238"/>
      <c r="K965" s="238"/>
      <c r="L965" s="238"/>
      <c r="M965" s="238"/>
      <c r="N965" s="238"/>
      <c r="O965" s="238"/>
      <c r="P965" s="238"/>
      <c r="Q965" s="238"/>
      <c r="R965" s="238"/>
      <c r="S965" s="238">
        <f>6508349.26+2789292.53</f>
        <v>9297641.7899999991</v>
      </c>
      <c r="T965" s="238"/>
      <c r="U965" s="238"/>
      <c r="V965" s="238">
        <f t="shared" si="1064"/>
        <v>9297641.7899999991</v>
      </c>
      <c r="W965" s="238">
        <f t="shared" si="1065"/>
        <v>0</v>
      </c>
      <c r="X965" s="238">
        <f t="shared" si="1066"/>
        <v>0</v>
      </c>
    </row>
    <row r="966" spans="1:24" s="229" customFormat="1" hidden="1">
      <c r="A966" s="230" t="s">
        <v>60</v>
      </c>
      <c r="B966" s="231" t="s">
        <v>402</v>
      </c>
      <c r="C966" s="231" t="s">
        <v>16</v>
      </c>
      <c r="D966" s="231" t="s">
        <v>14</v>
      </c>
      <c r="E966" s="231"/>
      <c r="F966" s="231"/>
      <c r="G966" s="231"/>
      <c r="H966" s="227"/>
      <c r="I966" s="237"/>
      <c r="J966" s="234"/>
      <c r="K966" s="234"/>
      <c r="L966" s="234"/>
      <c r="M966" s="234"/>
      <c r="N966" s="234"/>
      <c r="O966" s="234"/>
      <c r="P966" s="234">
        <f>P967+P972</f>
        <v>18698074.530000001</v>
      </c>
      <c r="Q966" s="234">
        <f t="shared" ref="Q966:U966" si="1067">Q967+Q972</f>
        <v>24317200</v>
      </c>
      <c r="R966" s="234">
        <f t="shared" si="1067"/>
        <v>25148300</v>
      </c>
      <c r="S966" s="234">
        <f t="shared" si="1067"/>
        <v>78908530.890000001</v>
      </c>
      <c r="T966" s="234">
        <f t="shared" si="1067"/>
        <v>0</v>
      </c>
      <c r="U966" s="234">
        <f t="shared" si="1067"/>
        <v>0</v>
      </c>
      <c r="V966" s="234">
        <f t="shared" si="1061"/>
        <v>97606605.420000002</v>
      </c>
      <c r="W966" s="234">
        <f t="shared" si="1061"/>
        <v>24317200</v>
      </c>
      <c r="X966" s="234">
        <f t="shared" si="1061"/>
        <v>25148300</v>
      </c>
    </row>
    <row r="967" spans="1:24" s="229" customFormat="1" ht="38.25" hidden="1">
      <c r="A967" s="235" t="s">
        <v>289</v>
      </c>
      <c r="B967" s="227" t="s">
        <v>402</v>
      </c>
      <c r="C967" s="227" t="s">
        <v>16</v>
      </c>
      <c r="D967" s="227" t="s">
        <v>14</v>
      </c>
      <c r="E967" s="227" t="s">
        <v>27</v>
      </c>
      <c r="F967" s="227" t="s">
        <v>70</v>
      </c>
      <c r="G967" s="227" t="s">
        <v>148</v>
      </c>
      <c r="H967" s="227" t="s">
        <v>149</v>
      </c>
      <c r="I967" s="237"/>
      <c r="J967" s="238"/>
      <c r="K967" s="238"/>
      <c r="L967" s="238"/>
      <c r="M967" s="238"/>
      <c r="N967" s="238"/>
      <c r="O967" s="238"/>
      <c r="P967" s="238">
        <f>P968</f>
        <v>1000000</v>
      </c>
      <c r="Q967" s="238">
        <f t="shared" ref="Q967:U970" si="1068">Q968</f>
        <v>0</v>
      </c>
      <c r="R967" s="238">
        <f t="shared" si="1068"/>
        <v>0</v>
      </c>
      <c r="S967" s="238">
        <f t="shared" si="1068"/>
        <v>0</v>
      </c>
      <c r="T967" s="238">
        <f t="shared" si="1068"/>
        <v>0</v>
      </c>
      <c r="U967" s="238">
        <f t="shared" si="1068"/>
        <v>0</v>
      </c>
      <c r="V967" s="238">
        <f t="shared" si="1061"/>
        <v>1000000</v>
      </c>
      <c r="W967" s="238">
        <f t="shared" si="1061"/>
        <v>0</v>
      </c>
      <c r="X967" s="238">
        <f t="shared" si="1061"/>
        <v>0</v>
      </c>
    </row>
    <row r="968" spans="1:24" s="229" customFormat="1" ht="19.5" hidden="1" customHeight="1">
      <c r="A968" s="268" t="s">
        <v>216</v>
      </c>
      <c r="B968" s="227" t="s">
        <v>402</v>
      </c>
      <c r="C968" s="227" t="s">
        <v>16</v>
      </c>
      <c r="D968" s="227" t="s">
        <v>14</v>
      </c>
      <c r="E968" s="227" t="s">
        <v>27</v>
      </c>
      <c r="F968" s="227" t="s">
        <v>113</v>
      </c>
      <c r="G968" s="227" t="s">
        <v>148</v>
      </c>
      <c r="H968" s="227" t="s">
        <v>149</v>
      </c>
      <c r="I968" s="237"/>
      <c r="J968" s="238"/>
      <c r="K968" s="238"/>
      <c r="L968" s="238"/>
      <c r="M968" s="238"/>
      <c r="N968" s="238"/>
      <c r="O968" s="238"/>
      <c r="P968" s="238">
        <f>P969</f>
        <v>1000000</v>
      </c>
      <c r="Q968" s="238">
        <f t="shared" si="1068"/>
        <v>0</v>
      </c>
      <c r="R968" s="238">
        <f t="shared" si="1068"/>
        <v>0</v>
      </c>
      <c r="S968" s="238">
        <f t="shared" si="1068"/>
        <v>0</v>
      </c>
      <c r="T968" s="238">
        <f t="shared" si="1068"/>
        <v>0</v>
      </c>
      <c r="U968" s="238">
        <f t="shared" si="1068"/>
        <v>0</v>
      </c>
      <c r="V968" s="238">
        <f t="shared" si="1061"/>
        <v>1000000</v>
      </c>
      <c r="W968" s="238">
        <f t="shared" si="1061"/>
        <v>0</v>
      </c>
      <c r="X968" s="238">
        <f t="shared" si="1061"/>
        <v>0</v>
      </c>
    </row>
    <row r="969" spans="1:24" s="229" customFormat="1" ht="25.5" hidden="1">
      <c r="A969" s="268" t="s">
        <v>270</v>
      </c>
      <c r="B969" s="227" t="s">
        <v>402</v>
      </c>
      <c r="C969" s="227" t="s">
        <v>16</v>
      </c>
      <c r="D969" s="227" t="s">
        <v>14</v>
      </c>
      <c r="E969" s="227" t="s">
        <v>27</v>
      </c>
      <c r="F969" s="227" t="s">
        <v>113</v>
      </c>
      <c r="G969" s="227" t="s">
        <v>148</v>
      </c>
      <c r="H969" s="227" t="s">
        <v>269</v>
      </c>
      <c r="I969" s="237"/>
      <c r="J969" s="238"/>
      <c r="K969" s="238"/>
      <c r="L969" s="238"/>
      <c r="M969" s="238"/>
      <c r="N969" s="238"/>
      <c r="O969" s="238"/>
      <c r="P969" s="238">
        <f>P970</f>
        <v>1000000</v>
      </c>
      <c r="Q969" s="238">
        <f t="shared" si="1068"/>
        <v>0</v>
      </c>
      <c r="R969" s="238">
        <f t="shared" si="1068"/>
        <v>0</v>
      </c>
      <c r="S969" s="238">
        <f t="shared" si="1068"/>
        <v>0</v>
      </c>
      <c r="T969" s="238">
        <f t="shared" si="1068"/>
        <v>0</v>
      </c>
      <c r="U969" s="238">
        <f t="shared" si="1068"/>
        <v>0</v>
      </c>
      <c r="V969" s="238">
        <f t="shared" si="1061"/>
        <v>1000000</v>
      </c>
      <c r="W969" s="238">
        <f t="shared" si="1061"/>
        <v>0</v>
      </c>
      <c r="X969" s="238">
        <f t="shared" si="1061"/>
        <v>0</v>
      </c>
    </row>
    <row r="970" spans="1:24" s="229" customFormat="1" ht="25.5" hidden="1">
      <c r="A970" s="268" t="s">
        <v>120</v>
      </c>
      <c r="B970" s="227" t="s">
        <v>402</v>
      </c>
      <c r="C970" s="227" t="s">
        <v>16</v>
      </c>
      <c r="D970" s="227" t="s">
        <v>14</v>
      </c>
      <c r="E970" s="227" t="s">
        <v>27</v>
      </c>
      <c r="F970" s="227" t="s">
        <v>113</v>
      </c>
      <c r="G970" s="227" t="s">
        <v>148</v>
      </c>
      <c r="H970" s="227" t="s">
        <v>269</v>
      </c>
      <c r="I970" s="237" t="s">
        <v>118</v>
      </c>
      <c r="J970" s="238"/>
      <c r="K970" s="238"/>
      <c r="L970" s="238"/>
      <c r="M970" s="238"/>
      <c r="N970" s="238"/>
      <c r="O970" s="238"/>
      <c r="P970" s="238">
        <f>P971</f>
        <v>1000000</v>
      </c>
      <c r="Q970" s="238">
        <f t="shared" si="1068"/>
        <v>0</v>
      </c>
      <c r="R970" s="238">
        <f t="shared" si="1068"/>
        <v>0</v>
      </c>
      <c r="S970" s="238">
        <f t="shared" si="1068"/>
        <v>0</v>
      </c>
      <c r="T970" s="238">
        <f t="shared" si="1068"/>
        <v>0</v>
      </c>
      <c r="U970" s="238">
        <f t="shared" si="1068"/>
        <v>0</v>
      </c>
      <c r="V970" s="238">
        <f t="shared" si="1061"/>
        <v>1000000</v>
      </c>
      <c r="W970" s="238">
        <f t="shared" si="1061"/>
        <v>0</v>
      </c>
      <c r="X970" s="238">
        <f t="shared" si="1061"/>
        <v>0</v>
      </c>
    </row>
    <row r="971" spans="1:24" s="229" customFormat="1" hidden="1">
      <c r="A971" s="268" t="s">
        <v>121</v>
      </c>
      <c r="B971" s="227" t="s">
        <v>402</v>
      </c>
      <c r="C971" s="227" t="s">
        <v>16</v>
      </c>
      <c r="D971" s="227" t="s">
        <v>14</v>
      </c>
      <c r="E971" s="227" t="s">
        <v>27</v>
      </c>
      <c r="F971" s="227" t="s">
        <v>113</v>
      </c>
      <c r="G971" s="227" t="s">
        <v>148</v>
      </c>
      <c r="H971" s="227" t="s">
        <v>269</v>
      </c>
      <c r="I971" s="237" t="s">
        <v>119</v>
      </c>
      <c r="J971" s="238"/>
      <c r="K971" s="238"/>
      <c r="L971" s="238"/>
      <c r="M971" s="238"/>
      <c r="N971" s="238"/>
      <c r="O971" s="238"/>
      <c r="P971" s="238">
        <v>1000000</v>
      </c>
      <c r="Q971" s="238">
        <f t="shared" ref="Q971:R971" si="1069">K971+N971</f>
        <v>0</v>
      </c>
      <c r="R971" s="238">
        <f t="shared" si="1069"/>
        <v>0</v>
      </c>
      <c r="S971" s="238"/>
      <c r="T971" s="238"/>
      <c r="U971" s="238"/>
      <c r="V971" s="238">
        <f t="shared" si="1061"/>
        <v>1000000</v>
      </c>
      <c r="W971" s="238">
        <f t="shared" si="1061"/>
        <v>0</v>
      </c>
      <c r="X971" s="238">
        <f t="shared" si="1061"/>
        <v>0</v>
      </c>
    </row>
    <row r="972" spans="1:24" s="229" customFormat="1" hidden="1">
      <c r="A972" s="235" t="s">
        <v>84</v>
      </c>
      <c r="B972" s="227" t="s">
        <v>402</v>
      </c>
      <c r="C972" s="227" t="s">
        <v>16</v>
      </c>
      <c r="D972" s="227" t="s">
        <v>14</v>
      </c>
      <c r="E972" s="227" t="s">
        <v>82</v>
      </c>
      <c r="F972" s="227" t="s">
        <v>70</v>
      </c>
      <c r="G972" s="227" t="s">
        <v>148</v>
      </c>
      <c r="H972" s="227" t="s">
        <v>149</v>
      </c>
      <c r="I972" s="237"/>
      <c r="J972" s="238"/>
      <c r="K972" s="238"/>
      <c r="L972" s="238"/>
      <c r="M972" s="238"/>
      <c r="N972" s="238"/>
      <c r="O972" s="238"/>
      <c r="P972" s="238">
        <f>P973+P976+P979</f>
        <v>17698074.530000001</v>
      </c>
      <c r="Q972" s="238">
        <f t="shared" ref="Q972:U972" si="1070">Q973+Q976+Q979</f>
        <v>24317200</v>
      </c>
      <c r="R972" s="238">
        <f t="shared" si="1070"/>
        <v>25148300</v>
      </c>
      <c r="S972" s="238">
        <f t="shared" si="1070"/>
        <v>78908530.890000001</v>
      </c>
      <c r="T972" s="238">
        <f t="shared" si="1070"/>
        <v>0</v>
      </c>
      <c r="U972" s="238">
        <f t="shared" si="1070"/>
        <v>0</v>
      </c>
      <c r="V972" s="238">
        <f t="shared" si="1061"/>
        <v>96606605.420000002</v>
      </c>
      <c r="W972" s="238">
        <f t="shared" si="1061"/>
        <v>24317200</v>
      </c>
      <c r="X972" s="238">
        <f t="shared" si="1061"/>
        <v>25148300</v>
      </c>
    </row>
    <row r="973" spans="1:24" s="229" customFormat="1" ht="38.25" hidden="1">
      <c r="A973" s="235" t="s">
        <v>350</v>
      </c>
      <c r="B973" s="227" t="s">
        <v>402</v>
      </c>
      <c r="C973" s="227" t="s">
        <v>16</v>
      </c>
      <c r="D973" s="227" t="s">
        <v>14</v>
      </c>
      <c r="E973" s="227" t="s">
        <v>82</v>
      </c>
      <c r="F973" s="227" t="s">
        <v>70</v>
      </c>
      <c r="G973" s="227" t="s">
        <v>148</v>
      </c>
      <c r="H973" s="227" t="s">
        <v>179</v>
      </c>
      <c r="I973" s="237"/>
      <c r="J973" s="238"/>
      <c r="K973" s="238"/>
      <c r="L973" s="238"/>
      <c r="M973" s="238"/>
      <c r="N973" s="238"/>
      <c r="O973" s="238"/>
      <c r="P973" s="238">
        <f>P974</f>
        <v>17698074.530000001</v>
      </c>
      <c r="Q973" s="238">
        <f t="shared" ref="Q973:U974" si="1071">Q974</f>
        <v>24317200</v>
      </c>
      <c r="R973" s="238">
        <f t="shared" si="1071"/>
        <v>25148300</v>
      </c>
      <c r="S973" s="238">
        <f t="shared" si="1071"/>
        <v>0.89</v>
      </c>
      <c r="T973" s="238">
        <f t="shared" si="1071"/>
        <v>0</v>
      </c>
      <c r="U973" s="238">
        <f t="shared" si="1071"/>
        <v>0</v>
      </c>
      <c r="V973" s="238">
        <f t="shared" si="1061"/>
        <v>17698075.420000002</v>
      </c>
      <c r="W973" s="238">
        <f t="shared" si="1061"/>
        <v>24317200</v>
      </c>
      <c r="X973" s="238">
        <f t="shared" si="1061"/>
        <v>25148300</v>
      </c>
    </row>
    <row r="974" spans="1:24" s="229" customFormat="1" ht="25.5" hidden="1">
      <c r="A974" s="240" t="s">
        <v>260</v>
      </c>
      <c r="B974" s="227" t="s">
        <v>402</v>
      </c>
      <c r="C974" s="227" t="s">
        <v>16</v>
      </c>
      <c r="D974" s="227" t="s">
        <v>14</v>
      </c>
      <c r="E974" s="227" t="s">
        <v>82</v>
      </c>
      <c r="F974" s="227" t="s">
        <v>70</v>
      </c>
      <c r="G974" s="227" t="s">
        <v>148</v>
      </c>
      <c r="H974" s="227" t="s">
        <v>179</v>
      </c>
      <c r="I974" s="237" t="s">
        <v>94</v>
      </c>
      <c r="J974" s="238"/>
      <c r="K974" s="238"/>
      <c r="L974" s="238"/>
      <c r="M974" s="238"/>
      <c r="N974" s="238"/>
      <c r="O974" s="238"/>
      <c r="P974" s="238">
        <f>P975</f>
        <v>17698074.530000001</v>
      </c>
      <c r="Q974" s="238">
        <f t="shared" si="1071"/>
        <v>24317200</v>
      </c>
      <c r="R974" s="238">
        <f t="shared" si="1071"/>
        <v>25148300</v>
      </c>
      <c r="S974" s="238">
        <f t="shared" si="1071"/>
        <v>0.89</v>
      </c>
      <c r="T974" s="238">
        <f t="shared" si="1071"/>
        <v>0</v>
      </c>
      <c r="U974" s="238">
        <f t="shared" si="1071"/>
        <v>0</v>
      </c>
      <c r="V974" s="238">
        <f t="shared" si="1061"/>
        <v>17698075.420000002</v>
      </c>
      <c r="W974" s="238">
        <f t="shared" si="1061"/>
        <v>24317200</v>
      </c>
      <c r="X974" s="238">
        <f t="shared" si="1061"/>
        <v>25148300</v>
      </c>
    </row>
    <row r="975" spans="1:24" s="229" customFormat="1" ht="25.5" hidden="1">
      <c r="A975" s="239" t="s">
        <v>98</v>
      </c>
      <c r="B975" s="227" t="s">
        <v>402</v>
      </c>
      <c r="C975" s="227" t="s">
        <v>16</v>
      </c>
      <c r="D975" s="227" t="s">
        <v>14</v>
      </c>
      <c r="E975" s="227" t="s">
        <v>82</v>
      </c>
      <c r="F975" s="227" t="s">
        <v>70</v>
      </c>
      <c r="G975" s="227" t="s">
        <v>148</v>
      </c>
      <c r="H975" s="227" t="s">
        <v>179</v>
      </c>
      <c r="I975" s="237" t="s">
        <v>95</v>
      </c>
      <c r="J975" s="238"/>
      <c r="K975" s="238"/>
      <c r="L975" s="238"/>
      <c r="M975" s="238"/>
      <c r="N975" s="238"/>
      <c r="O975" s="238"/>
      <c r="P975" s="238">
        <v>17698074.530000001</v>
      </c>
      <c r="Q975" s="238">
        <v>24317200</v>
      </c>
      <c r="R975" s="238">
        <v>25148300</v>
      </c>
      <c r="S975" s="238">
        <v>0.89</v>
      </c>
      <c r="T975" s="238"/>
      <c r="U975" s="238"/>
      <c r="V975" s="238">
        <f t="shared" si="1061"/>
        <v>17698075.420000002</v>
      </c>
      <c r="W975" s="238">
        <f t="shared" si="1061"/>
        <v>24317200</v>
      </c>
      <c r="X975" s="238">
        <f t="shared" si="1061"/>
        <v>25148300</v>
      </c>
    </row>
    <row r="976" spans="1:24" s="229" customFormat="1" ht="38.25" hidden="1">
      <c r="A976" s="268" t="s">
        <v>453</v>
      </c>
      <c r="B976" s="227" t="s">
        <v>402</v>
      </c>
      <c r="C976" s="227" t="s">
        <v>16</v>
      </c>
      <c r="D976" s="227" t="s">
        <v>14</v>
      </c>
      <c r="E976" s="227" t="s">
        <v>82</v>
      </c>
      <c r="F976" s="227" t="s">
        <v>70</v>
      </c>
      <c r="G976" s="227" t="s">
        <v>148</v>
      </c>
      <c r="H976" s="227" t="s">
        <v>451</v>
      </c>
      <c r="I976" s="237"/>
      <c r="J976" s="238"/>
      <c r="K976" s="238"/>
      <c r="L976" s="238"/>
      <c r="M976" s="238"/>
      <c r="N976" s="238"/>
      <c r="O976" s="238"/>
      <c r="P976" s="238">
        <f>P977</f>
        <v>0</v>
      </c>
      <c r="Q976" s="238">
        <f t="shared" ref="Q976:U977" si="1072">Q977</f>
        <v>0</v>
      </c>
      <c r="R976" s="238">
        <f t="shared" si="1072"/>
        <v>0</v>
      </c>
      <c r="S976" s="238">
        <f t="shared" si="1072"/>
        <v>71780530</v>
      </c>
      <c r="T976" s="238">
        <f t="shared" si="1072"/>
        <v>0</v>
      </c>
      <c r="U976" s="238">
        <f t="shared" si="1072"/>
        <v>0</v>
      </c>
      <c r="V976" s="238">
        <f t="shared" si="1061"/>
        <v>71780530</v>
      </c>
      <c r="W976" s="238">
        <f t="shared" si="1061"/>
        <v>0</v>
      </c>
      <c r="X976" s="238">
        <f t="shared" si="1061"/>
        <v>0</v>
      </c>
    </row>
    <row r="977" spans="1:24" s="229" customFormat="1" ht="25.5" hidden="1">
      <c r="A977" s="240" t="s">
        <v>260</v>
      </c>
      <c r="B977" s="227" t="s">
        <v>402</v>
      </c>
      <c r="C977" s="227" t="s">
        <v>16</v>
      </c>
      <c r="D977" s="227" t="s">
        <v>14</v>
      </c>
      <c r="E977" s="227" t="s">
        <v>82</v>
      </c>
      <c r="F977" s="227" t="s">
        <v>70</v>
      </c>
      <c r="G977" s="227" t="s">
        <v>148</v>
      </c>
      <c r="H977" s="227" t="s">
        <v>451</v>
      </c>
      <c r="I977" s="237" t="s">
        <v>94</v>
      </c>
      <c r="J977" s="238"/>
      <c r="K977" s="238"/>
      <c r="L977" s="238"/>
      <c r="M977" s="238"/>
      <c r="N977" s="238"/>
      <c r="O977" s="238"/>
      <c r="P977" s="238">
        <f>P978</f>
        <v>0</v>
      </c>
      <c r="Q977" s="238">
        <f t="shared" si="1072"/>
        <v>0</v>
      </c>
      <c r="R977" s="238">
        <f t="shared" si="1072"/>
        <v>0</v>
      </c>
      <c r="S977" s="238">
        <f t="shared" si="1072"/>
        <v>71780530</v>
      </c>
      <c r="T977" s="238">
        <f t="shared" si="1072"/>
        <v>0</v>
      </c>
      <c r="U977" s="238">
        <f t="shared" si="1072"/>
        <v>0</v>
      </c>
      <c r="V977" s="238">
        <f t="shared" si="1061"/>
        <v>71780530</v>
      </c>
      <c r="W977" s="238">
        <f t="shared" si="1061"/>
        <v>0</v>
      </c>
      <c r="X977" s="238">
        <f t="shared" si="1061"/>
        <v>0</v>
      </c>
    </row>
    <row r="978" spans="1:24" s="229" customFormat="1" ht="25.5" hidden="1">
      <c r="A978" s="239" t="s">
        <v>98</v>
      </c>
      <c r="B978" s="227" t="s">
        <v>402</v>
      </c>
      <c r="C978" s="227" t="s">
        <v>16</v>
      </c>
      <c r="D978" s="227" t="s">
        <v>14</v>
      </c>
      <c r="E978" s="227" t="s">
        <v>82</v>
      </c>
      <c r="F978" s="227" t="s">
        <v>70</v>
      </c>
      <c r="G978" s="227" t="s">
        <v>148</v>
      </c>
      <c r="H978" s="227" t="s">
        <v>451</v>
      </c>
      <c r="I978" s="237" t="s">
        <v>95</v>
      </c>
      <c r="J978" s="238"/>
      <c r="K978" s="238"/>
      <c r="L978" s="238"/>
      <c r="M978" s="238"/>
      <c r="N978" s="238"/>
      <c r="O978" s="238"/>
      <c r="P978" s="238"/>
      <c r="Q978" s="238"/>
      <c r="R978" s="238"/>
      <c r="S978" s="238">
        <v>71780530</v>
      </c>
      <c r="T978" s="238"/>
      <c r="U978" s="238"/>
      <c r="V978" s="238">
        <f t="shared" si="1061"/>
        <v>71780530</v>
      </c>
      <c r="W978" s="238">
        <f t="shared" si="1061"/>
        <v>0</v>
      </c>
      <c r="X978" s="238">
        <f t="shared" si="1061"/>
        <v>0</v>
      </c>
    </row>
    <row r="979" spans="1:24" s="229" customFormat="1" ht="25.5" hidden="1">
      <c r="A979" s="268" t="s">
        <v>454</v>
      </c>
      <c r="B979" s="227" t="s">
        <v>402</v>
      </c>
      <c r="C979" s="227" t="s">
        <v>16</v>
      </c>
      <c r="D979" s="227" t="s">
        <v>14</v>
      </c>
      <c r="E979" s="227" t="s">
        <v>82</v>
      </c>
      <c r="F979" s="227" t="s">
        <v>70</v>
      </c>
      <c r="G979" s="227" t="s">
        <v>148</v>
      </c>
      <c r="H979" s="227" t="s">
        <v>452</v>
      </c>
      <c r="I979" s="237"/>
      <c r="J979" s="238"/>
      <c r="K979" s="238"/>
      <c r="L979" s="238"/>
      <c r="M979" s="238"/>
      <c r="N979" s="238"/>
      <c r="O979" s="238"/>
      <c r="P979" s="238">
        <f>P980</f>
        <v>0</v>
      </c>
      <c r="Q979" s="238">
        <f t="shared" ref="Q979:U980" si="1073">Q980</f>
        <v>0</v>
      </c>
      <c r="R979" s="238">
        <f t="shared" si="1073"/>
        <v>0</v>
      </c>
      <c r="S979" s="238">
        <f t="shared" si="1073"/>
        <v>7128000</v>
      </c>
      <c r="T979" s="238">
        <f t="shared" si="1073"/>
        <v>0</v>
      </c>
      <c r="U979" s="238">
        <f t="shared" si="1073"/>
        <v>0</v>
      </c>
      <c r="V979" s="238">
        <f t="shared" si="1061"/>
        <v>7128000</v>
      </c>
      <c r="W979" s="238">
        <f t="shared" si="1061"/>
        <v>0</v>
      </c>
      <c r="X979" s="238">
        <f t="shared" si="1061"/>
        <v>0</v>
      </c>
    </row>
    <row r="980" spans="1:24" s="229" customFormat="1" ht="25.5" hidden="1">
      <c r="A980" s="240" t="s">
        <v>260</v>
      </c>
      <c r="B980" s="227" t="s">
        <v>402</v>
      </c>
      <c r="C980" s="227" t="s">
        <v>16</v>
      </c>
      <c r="D980" s="227" t="s">
        <v>14</v>
      </c>
      <c r="E980" s="227" t="s">
        <v>82</v>
      </c>
      <c r="F980" s="227" t="s">
        <v>70</v>
      </c>
      <c r="G980" s="227" t="s">
        <v>148</v>
      </c>
      <c r="H980" s="227" t="s">
        <v>452</v>
      </c>
      <c r="I980" s="237" t="s">
        <v>94</v>
      </c>
      <c r="J980" s="238"/>
      <c r="K980" s="238"/>
      <c r="L980" s="238"/>
      <c r="M980" s="238"/>
      <c r="N980" s="238"/>
      <c r="O980" s="238"/>
      <c r="P980" s="238">
        <f>P981</f>
        <v>0</v>
      </c>
      <c r="Q980" s="238">
        <f t="shared" si="1073"/>
        <v>0</v>
      </c>
      <c r="R980" s="238">
        <f t="shared" si="1073"/>
        <v>0</v>
      </c>
      <c r="S980" s="238">
        <f t="shared" si="1073"/>
        <v>7128000</v>
      </c>
      <c r="T980" s="238">
        <f t="shared" si="1073"/>
        <v>0</v>
      </c>
      <c r="U980" s="238">
        <f t="shared" si="1073"/>
        <v>0</v>
      </c>
      <c r="V980" s="238">
        <f t="shared" ref="V980:X995" si="1074">P980+S980</f>
        <v>7128000</v>
      </c>
      <c r="W980" s="238">
        <f t="shared" si="1074"/>
        <v>0</v>
      </c>
      <c r="X980" s="238">
        <f t="shared" si="1074"/>
        <v>0</v>
      </c>
    </row>
    <row r="981" spans="1:24" s="229" customFormat="1" ht="25.5" hidden="1">
      <c r="A981" s="239" t="s">
        <v>98</v>
      </c>
      <c r="B981" s="227" t="s">
        <v>402</v>
      </c>
      <c r="C981" s="227" t="s">
        <v>16</v>
      </c>
      <c r="D981" s="227" t="s">
        <v>14</v>
      </c>
      <c r="E981" s="227" t="s">
        <v>82</v>
      </c>
      <c r="F981" s="227" t="s">
        <v>70</v>
      </c>
      <c r="G981" s="227" t="s">
        <v>148</v>
      </c>
      <c r="H981" s="227" t="s">
        <v>452</v>
      </c>
      <c r="I981" s="237" t="s">
        <v>95</v>
      </c>
      <c r="J981" s="238"/>
      <c r="K981" s="238"/>
      <c r="L981" s="238"/>
      <c r="M981" s="238"/>
      <c r="N981" s="238"/>
      <c r="O981" s="238"/>
      <c r="P981" s="238"/>
      <c r="Q981" s="238"/>
      <c r="R981" s="238"/>
      <c r="S981" s="238">
        <v>7128000</v>
      </c>
      <c r="T981" s="238"/>
      <c r="U981" s="238"/>
      <c r="V981" s="238">
        <f t="shared" si="1074"/>
        <v>7128000</v>
      </c>
      <c r="W981" s="238">
        <f t="shared" si="1074"/>
        <v>0</v>
      </c>
      <c r="X981" s="238">
        <f t="shared" si="1074"/>
        <v>0</v>
      </c>
    </row>
    <row r="982" spans="1:24" s="229" customFormat="1" hidden="1">
      <c r="A982" s="230" t="s">
        <v>37</v>
      </c>
      <c r="B982" s="232" t="s">
        <v>402</v>
      </c>
      <c r="C982" s="232" t="s">
        <v>16</v>
      </c>
      <c r="D982" s="232" t="s">
        <v>31</v>
      </c>
      <c r="E982" s="232"/>
      <c r="F982" s="232"/>
      <c r="G982" s="232"/>
      <c r="H982" s="227"/>
      <c r="I982" s="237"/>
      <c r="J982" s="234"/>
      <c r="K982" s="234"/>
      <c r="L982" s="234"/>
      <c r="M982" s="234"/>
      <c r="N982" s="234"/>
      <c r="O982" s="234"/>
      <c r="P982" s="234">
        <f>P983+P993</f>
        <v>1764750</v>
      </c>
      <c r="Q982" s="234">
        <f t="shared" ref="Q982:U982" si="1075">Q983+Q993</f>
        <v>224682</v>
      </c>
      <c r="R982" s="234">
        <f t="shared" si="1075"/>
        <v>224682</v>
      </c>
      <c r="S982" s="234">
        <f t="shared" si="1075"/>
        <v>0</v>
      </c>
      <c r="T982" s="234">
        <f t="shared" si="1075"/>
        <v>0</v>
      </c>
      <c r="U982" s="234">
        <f t="shared" si="1075"/>
        <v>0</v>
      </c>
      <c r="V982" s="234">
        <f t="shared" si="1074"/>
        <v>1764750</v>
      </c>
      <c r="W982" s="234">
        <f t="shared" si="1074"/>
        <v>224682</v>
      </c>
      <c r="X982" s="234">
        <f t="shared" si="1074"/>
        <v>224682</v>
      </c>
    </row>
    <row r="983" spans="1:24" s="229" customFormat="1" ht="38.25" hidden="1">
      <c r="A983" s="235" t="s">
        <v>288</v>
      </c>
      <c r="B983" s="227" t="s">
        <v>402</v>
      </c>
      <c r="C983" s="227" t="s">
        <v>16</v>
      </c>
      <c r="D983" s="227" t="s">
        <v>31</v>
      </c>
      <c r="E983" s="227" t="s">
        <v>13</v>
      </c>
      <c r="F983" s="227" t="s">
        <v>70</v>
      </c>
      <c r="G983" s="227" t="s">
        <v>148</v>
      </c>
      <c r="H983" s="227" t="s">
        <v>149</v>
      </c>
      <c r="I983" s="237"/>
      <c r="J983" s="238"/>
      <c r="K983" s="238"/>
      <c r="L983" s="238"/>
      <c r="M983" s="238"/>
      <c r="N983" s="238"/>
      <c r="O983" s="238"/>
      <c r="P983" s="238">
        <f>P984+P987+P990</f>
        <v>264750</v>
      </c>
      <c r="Q983" s="238">
        <f t="shared" ref="Q983:U983" si="1076">Q984+Q987+Q990</f>
        <v>224682</v>
      </c>
      <c r="R983" s="238">
        <f t="shared" si="1076"/>
        <v>224682</v>
      </c>
      <c r="S983" s="238">
        <f t="shared" si="1076"/>
        <v>0</v>
      </c>
      <c r="T983" s="238">
        <f t="shared" si="1076"/>
        <v>0</v>
      </c>
      <c r="U983" s="238">
        <f t="shared" si="1076"/>
        <v>0</v>
      </c>
      <c r="V983" s="238">
        <f t="shared" si="1074"/>
        <v>264750</v>
      </c>
      <c r="W983" s="238">
        <f t="shared" si="1074"/>
        <v>224682</v>
      </c>
      <c r="X983" s="238">
        <f t="shared" si="1074"/>
        <v>224682</v>
      </c>
    </row>
    <row r="984" spans="1:24" s="229" customFormat="1" ht="25.5" hidden="1">
      <c r="A984" s="235" t="s">
        <v>351</v>
      </c>
      <c r="B984" s="227" t="s">
        <v>402</v>
      </c>
      <c r="C984" s="227" t="s">
        <v>16</v>
      </c>
      <c r="D984" s="227" t="s">
        <v>31</v>
      </c>
      <c r="E984" s="227" t="s">
        <v>13</v>
      </c>
      <c r="F984" s="227" t="s">
        <v>70</v>
      </c>
      <c r="G984" s="227" t="s">
        <v>148</v>
      </c>
      <c r="H984" s="227" t="s">
        <v>186</v>
      </c>
      <c r="I984" s="237"/>
      <c r="J984" s="244"/>
      <c r="K984" s="244"/>
      <c r="L984" s="244"/>
      <c r="M984" s="244"/>
      <c r="N984" s="244"/>
      <c r="O984" s="244"/>
      <c r="P984" s="244">
        <f>P985</f>
        <v>85000</v>
      </c>
      <c r="Q984" s="244">
        <f t="shared" ref="Q984:U985" si="1077">Q985</f>
        <v>85000</v>
      </c>
      <c r="R984" s="244">
        <f t="shared" si="1077"/>
        <v>85000</v>
      </c>
      <c r="S984" s="244">
        <f t="shared" si="1077"/>
        <v>0</v>
      </c>
      <c r="T984" s="244">
        <f t="shared" si="1077"/>
        <v>0</v>
      </c>
      <c r="U984" s="244">
        <f t="shared" si="1077"/>
        <v>0</v>
      </c>
      <c r="V984" s="244">
        <f t="shared" si="1074"/>
        <v>85000</v>
      </c>
      <c r="W984" s="244">
        <f t="shared" si="1074"/>
        <v>85000</v>
      </c>
      <c r="X984" s="244">
        <f t="shared" si="1074"/>
        <v>85000</v>
      </c>
    </row>
    <row r="985" spans="1:24" s="229" customFormat="1" hidden="1">
      <c r="A985" s="235" t="s">
        <v>80</v>
      </c>
      <c r="B985" s="227" t="s">
        <v>402</v>
      </c>
      <c r="C985" s="227" t="s">
        <v>16</v>
      </c>
      <c r="D985" s="227" t="s">
        <v>31</v>
      </c>
      <c r="E985" s="227" t="s">
        <v>13</v>
      </c>
      <c r="F985" s="227" t="s">
        <v>70</v>
      </c>
      <c r="G985" s="227" t="s">
        <v>148</v>
      </c>
      <c r="H985" s="227" t="s">
        <v>186</v>
      </c>
      <c r="I985" s="237" t="s">
        <v>77</v>
      </c>
      <c r="J985" s="244"/>
      <c r="K985" s="244"/>
      <c r="L985" s="244"/>
      <c r="M985" s="244"/>
      <c r="N985" s="244"/>
      <c r="O985" s="244"/>
      <c r="P985" s="244">
        <f>P986</f>
        <v>85000</v>
      </c>
      <c r="Q985" s="244">
        <f t="shared" si="1077"/>
        <v>85000</v>
      </c>
      <c r="R985" s="244">
        <f t="shared" si="1077"/>
        <v>85000</v>
      </c>
      <c r="S985" s="244">
        <f t="shared" si="1077"/>
        <v>0</v>
      </c>
      <c r="T985" s="244">
        <f t="shared" si="1077"/>
        <v>0</v>
      </c>
      <c r="U985" s="244">
        <f t="shared" si="1077"/>
        <v>0</v>
      </c>
      <c r="V985" s="244">
        <f t="shared" si="1074"/>
        <v>85000</v>
      </c>
      <c r="W985" s="244">
        <f t="shared" si="1074"/>
        <v>85000</v>
      </c>
      <c r="X985" s="244">
        <f t="shared" si="1074"/>
        <v>85000</v>
      </c>
    </row>
    <row r="986" spans="1:24" s="229" customFormat="1" ht="25.5" hidden="1">
      <c r="A986" s="268" t="s">
        <v>81</v>
      </c>
      <c r="B986" s="227" t="s">
        <v>402</v>
      </c>
      <c r="C986" s="227" t="s">
        <v>16</v>
      </c>
      <c r="D986" s="227" t="s">
        <v>31</v>
      </c>
      <c r="E986" s="227" t="s">
        <v>13</v>
      </c>
      <c r="F986" s="227" t="s">
        <v>70</v>
      </c>
      <c r="G986" s="227" t="s">
        <v>148</v>
      </c>
      <c r="H986" s="227" t="s">
        <v>186</v>
      </c>
      <c r="I986" s="237" t="s">
        <v>78</v>
      </c>
      <c r="J986" s="244"/>
      <c r="K986" s="244"/>
      <c r="L986" s="244"/>
      <c r="M986" s="244"/>
      <c r="N986" s="244"/>
      <c r="O986" s="244"/>
      <c r="P986" s="244">
        <v>85000</v>
      </c>
      <c r="Q986" s="244">
        <v>85000</v>
      </c>
      <c r="R986" s="244">
        <v>85000</v>
      </c>
      <c r="S986" s="244"/>
      <c r="T986" s="244"/>
      <c r="U986" s="244"/>
      <c r="V986" s="244">
        <f t="shared" si="1074"/>
        <v>85000</v>
      </c>
      <c r="W986" s="244">
        <f t="shared" si="1074"/>
        <v>85000</v>
      </c>
      <c r="X986" s="244">
        <f t="shared" si="1074"/>
        <v>85000</v>
      </c>
    </row>
    <row r="987" spans="1:24" s="229" customFormat="1" hidden="1">
      <c r="A987" s="268" t="s">
        <v>228</v>
      </c>
      <c r="B987" s="227" t="s">
        <v>402</v>
      </c>
      <c r="C987" s="227" t="s">
        <v>16</v>
      </c>
      <c r="D987" s="227" t="s">
        <v>31</v>
      </c>
      <c r="E987" s="227" t="s">
        <v>13</v>
      </c>
      <c r="F987" s="227" t="s">
        <v>70</v>
      </c>
      <c r="G987" s="227" t="s">
        <v>148</v>
      </c>
      <c r="H987" s="227" t="s">
        <v>227</v>
      </c>
      <c r="I987" s="237"/>
      <c r="J987" s="238"/>
      <c r="K987" s="238"/>
      <c r="L987" s="238"/>
      <c r="M987" s="238"/>
      <c r="N987" s="238"/>
      <c r="O987" s="238"/>
      <c r="P987" s="238">
        <f>P988</f>
        <v>50000</v>
      </c>
      <c r="Q987" s="238">
        <f t="shared" ref="Q987:U988" si="1078">Q988</f>
        <v>50000</v>
      </c>
      <c r="R987" s="238">
        <f t="shared" si="1078"/>
        <v>50000</v>
      </c>
      <c r="S987" s="238">
        <f t="shared" si="1078"/>
        <v>0</v>
      </c>
      <c r="T987" s="238">
        <f t="shared" si="1078"/>
        <v>0</v>
      </c>
      <c r="U987" s="238">
        <f t="shared" si="1078"/>
        <v>0</v>
      </c>
      <c r="V987" s="238">
        <f t="shared" si="1074"/>
        <v>50000</v>
      </c>
      <c r="W987" s="238">
        <f t="shared" si="1074"/>
        <v>50000</v>
      </c>
      <c r="X987" s="238">
        <f t="shared" si="1074"/>
        <v>50000</v>
      </c>
    </row>
    <row r="988" spans="1:24" s="229" customFormat="1" hidden="1">
      <c r="A988" s="235" t="s">
        <v>80</v>
      </c>
      <c r="B988" s="227" t="s">
        <v>402</v>
      </c>
      <c r="C988" s="227" t="s">
        <v>16</v>
      </c>
      <c r="D988" s="227" t="s">
        <v>31</v>
      </c>
      <c r="E988" s="227" t="s">
        <v>13</v>
      </c>
      <c r="F988" s="227" t="s">
        <v>70</v>
      </c>
      <c r="G988" s="227" t="s">
        <v>148</v>
      </c>
      <c r="H988" s="227" t="s">
        <v>227</v>
      </c>
      <c r="I988" s="237" t="s">
        <v>77</v>
      </c>
      <c r="J988" s="238"/>
      <c r="K988" s="238"/>
      <c r="L988" s="238"/>
      <c r="M988" s="238"/>
      <c r="N988" s="238"/>
      <c r="O988" s="238"/>
      <c r="P988" s="238">
        <f>P989</f>
        <v>50000</v>
      </c>
      <c r="Q988" s="238">
        <f t="shared" si="1078"/>
        <v>50000</v>
      </c>
      <c r="R988" s="238">
        <f t="shared" si="1078"/>
        <v>50000</v>
      </c>
      <c r="S988" s="238">
        <f t="shared" si="1078"/>
        <v>0</v>
      </c>
      <c r="T988" s="238">
        <f t="shared" si="1078"/>
        <v>0</v>
      </c>
      <c r="U988" s="238">
        <f t="shared" si="1078"/>
        <v>0</v>
      </c>
      <c r="V988" s="238">
        <f t="shared" si="1074"/>
        <v>50000</v>
      </c>
      <c r="W988" s="238">
        <f t="shared" si="1074"/>
        <v>50000</v>
      </c>
      <c r="X988" s="238">
        <f t="shared" si="1074"/>
        <v>50000</v>
      </c>
    </row>
    <row r="989" spans="1:24" s="229" customFormat="1" ht="25.5" hidden="1">
      <c r="A989" s="268" t="s">
        <v>81</v>
      </c>
      <c r="B989" s="227" t="s">
        <v>402</v>
      </c>
      <c r="C989" s="227" t="s">
        <v>16</v>
      </c>
      <c r="D989" s="227" t="s">
        <v>31</v>
      </c>
      <c r="E989" s="227" t="s">
        <v>13</v>
      </c>
      <c r="F989" s="227" t="s">
        <v>70</v>
      </c>
      <c r="G989" s="227" t="s">
        <v>148</v>
      </c>
      <c r="H989" s="227" t="s">
        <v>227</v>
      </c>
      <c r="I989" s="237" t="s">
        <v>78</v>
      </c>
      <c r="J989" s="238"/>
      <c r="K989" s="238"/>
      <c r="L989" s="238"/>
      <c r="M989" s="238"/>
      <c r="N989" s="238"/>
      <c r="O989" s="238"/>
      <c r="P989" s="238">
        <v>50000</v>
      </c>
      <c r="Q989" s="238">
        <v>50000</v>
      </c>
      <c r="R989" s="238">
        <v>50000</v>
      </c>
      <c r="S989" s="238"/>
      <c r="T989" s="238"/>
      <c r="U989" s="238"/>
      <c r="V989" s="238">
        <f t="shared" si="1074"/>
        <v>50000</v>
      </c>
      <c r="W989" s="238">
        <f t="shared" si="1074"/>
        <v>50000</v>
      </c>
      <c r="X989" s="238">
        <f t="shared" si="1074"/>
        <v>50000</v>
      </c>
    </row>
    <row r="990" spans="1:24" s="229" customFormat="1" ht="25.5" hidden="1">
      <c r="A990" s="268" t="s">
        <v>300</v>
      </c>
      <c r="B990" s="227" t="s">
        <v>402</v>
      </c>
      <c r="C990" s="227" t="s">
        <v>16</v>
      </c>
      <c r="D990" s="227" t="s">
        <v>31</v>
      </c>
      <c r="E990" s="227" t="s">
        <v>13</v>
      </c>
      <c r="F990" s="227" t="s">
        <v>70</v>
      </c>
      <c r="G990" s="227" t="s">
        <v>148</v>
      </c>
      <c r="H990" s="227" t="s">
        <v>220</v>
      </c>
      <c r="I990" s="237"/>
      <c r="J990" s="244"/>
      <c r="K990" s="244"/>
      <c r="L990" s="244"/>
      <c r="M990" s="244"/>
      <c r="N990" s="244"/>
      <c r="O990" s="244"/>
      <c r="P990" s="244">
        <f>P991</f>
        <v>129750</v>
      </c>
      <c r="Q990" s="244">
        <f t="shared" ref="Q990:U991" si="1079">Q991</f>
        <v>89682</v>
      </c>
      <c r="R990" s="244">
        <f t="shared" si="1079"/>
        <v>89682</v>
      </c>
      <c r="S990" s="244">
        <f t="shared" si="1079"/>
        <v>0</v>
      </c>
      <c r="T990" s="244">
        <f t="shared" si="1079"/>
        <v>0</v>
      </c>
      <c r="U990" s="244">
        <f t="shared" si="1079"/>
        <v>0</v>
      </c>
      <c r="V990" s="244">
        <f t="shared" si="1074"/>
        <v>129750</v>
      </c>
      <c r="W990" s="244">
        <f t="shared" si="1074"/>
        <v>89682</v>
      </c>
      <c r="X990" s="244">
        <f t="shared" si="1074"/>
        <v>89682</v>
      </c>
    </row>
    <row r="991" spans="1:24" s="229" customFormat="1" hidden="1">
      <c r="A991" s="235" t="s">
        <v>80</v>
      </c>
      <c r="B991" s="227" t="s">
        <v>402</v>
      </c>
      <c r="C991" s="227" t="s">
        <v>16</v>
      </c>
      <c r="D991" s="227" t="s">
        <v>31</v>
      </c>
      <c r="E991" s="227" t="s">
        <v>13</v>
      </c>
      <c r="F991" s="227" t="s">
        <v>70</v>
      </c>
      <c r="G991" s="227" t="s">
        <v>148</v>
      </c>
      <c r="H991" s="227" t="s">
        <v>220</v>
      </c>
      <c r="I991" s="237" t="s">
        <v>77</v>
      </c>
      <c r="J991" s="244"/>
      <c r="K991" s="244"/>
      <c r="L991" s="244"/>
      <c r="M991" s="244"/>
      <c r="N991" s="244"/>
      <c r="O991" s="244"/>
      <c r="P991" s="244">
        <f>P992</f>
        <v>129750</v>
      </c>
      <c r="Q991" s="244">
        <f t="shared" si="1079"/>
        <v>89682</v>
      </c>
      <c r="R991" s="244">
        <f t="shared" si="1079"/>
        <v>89682</v>
      </c>
      <c r="S991" s="244">
        <f t="shared" si="1079"/>
        <v>0</v>
      </c>
      <c r="T991" s="244">
        <f t="shared" si="1079"/>
        <v>0</v>
      </c>
      <c r="U991" s="244">
        <f t="shared" si="1079"/>
        <v>0</v>
      </c>
      <c r="V991" s="244">
        <f t="shared" si="1074"/>
        <v>129750</v>
      </c>
      <c r="W991" s="244">
        <f t="shared" si="1074"/>
        <v>89682</v>
      </c>
      <c r="X991" s="244">
        <f t="shared" si="1074"/>
        <v>89682</v>
      </c>
    </row>
    <row r="992" spans="1:24" s="229" customFormat="1" ht="25.5" hidden="1">
      <c r="A992" s="268" t="s">
        <v>81</v>
      </c>
      <c r="B992" s="227" t="s">
        <v>402</v>
      </c>
      <c r="C992" s="227" t="s">
        <v>16</v>
      </c>
      <c r="D992" s="227" t="s">
        <v>31</v>
      </c>
      <c r="E992" s="227" t="s">
        <v>13</v>
      </c>
      <c r="F992" s="227" t="s">
        <v>70</v>
      </c>
      <c r="G992" s="227" t="s">
        <v>148</v>
      </c>
      <c r="H992" s="227" t="s">
        <v>220</v>
      </c>
      <c r="I992" s="237" t="s">
        <v>78</v>
      </c>
      <c r="J992" s="244"/>
      <c r="K992" s="244"/>
      <c r="L992" s="244"/>
      <c r="M992" s="244"/>
      <c r="N992" s="244"/>
      <c r="O992" s="244"/>
      <c r="P992" s="244">
        <v>129750</v>
      </c>
      <c r="Q992" s="244">
        <v>89682</v>
      </c>
      <c r="R992" s="244">
        <v>89682</v>
      </c>
      <c r="S992" s="244"/>
      <c r="T992" s="244"/>
      <c r="U992" s="244"/>
      <c r="V992" s="244">
        <f t="shared" si="1074"/>
        <v>129750</v>
      </c>
      <c r="W992" s="244">
        <f t="shared" si="1074"/>
        <v>89682</v>
      </c>
      <c r="X992" s="244">
        <f t="shared" si="1074"/>
        <v>89682</v>
      </c>
    </row>
    <row r="993" spans="1:24" s="229" customFormat="1" ht="25.5" hidden="1">
      <c r="A993" s="268" t="s">
        <v>353</v>
      </c>
      <c r="B993" s="227" t="s">
        <v>402</v>
      </c>
      <c r="C993" s="227" t="s">
        <v>16</v>
      </c>
      <c r="D993" s="227" t="s">
        <v>31</v>
      </c>
      <c r="E993" s="227" t="s">
        <v>82</v>
      </c>
      <c r="F993" s="227" t="s">
        <v>70</v>
      </c>
      <c r="G993" s="227" t="s">
        <v>148</v>
      </c>
      <c r="H993" s="227" t="s">
        <v>149</v>
      </c>
      <c r="I993" s="237"/>
      <c r="J993" s="244"/>
      <c r="K993" s="244"/>
      <c r="L993" s="244"/>
      <c r="M993" s="244"/>
      <c r="N993" s="244"/>
      <c r="O993" s="244"/>
      <c r="P993" s="244">
        <f>P994</f>
        <v>1500000</v>
      </c>
      <c r="Q993" s="244">
        <f t="shared" ref="Q993:U995" si="1080">Q994</f>
        <v>0</v>
      </c>
      <c r="R993" s="244">
        <f t="shared" si="1080"/>
        <v>0</v>
      </c>
      <c r="S993" s="244">
        <f t="shared" si="1080"/>
        <v>0</v>
      </c>
      <c r="T993" s="244">
        <f t="shared" si="1080"/>
        <v>0</v>
      </c>
      <c r="U993" s="244">
        <f t="shared" si="1080"/>
        <v>0</v>
      </c>
      <c r="V993" s="244">
        <f t="shared" si="1074"/>
        <v>1500000</v>
      </c>
      <c r="W993" s="244">
        <f t="shared" si="1074"/>
        <v>0</v>
      </c>
      <c r="X993" s="244">
        <f t="shared" si="1074"/>
        <v>0</v>
      </c>
    </row>
    <row r="994" spans="1:24" s="229" customFormat="1" ht="25.5" hidden="1">
      <c r="A994" s="268" t="s">
        <v>353</v>
      </c>
      <c r="B994" s="227" t="s">
        <v>402</v>
      </c>
      <c r="C994" s="227" t="s">
        <v>16</v>
      </c>
      <c r="D994" s="227" t="s">
        <v>31</v>
      </c>
      <c r="E994" s="227" t="s">
        <v>82</v>
      </c>
      <c r="F994" s="227" t="s">
        <v>70</v>
      </c>
      <c r="G994" s="227" t="s">
        <v>148</v>
      </c>
      <c r="H994" s="227" t="s">
        <v>352</v>
      </c>
      <c r="I994" s="237"/>
      <c r="J994" s="244"/>
      <c r="K994" s="244"/>
      <c r="L994" s="244"/>
      <c r="M994" s="244"/>
      <c r="N994" s="244"/>
      <c r="O994" s="244"/>
      <c r="P994" s="244">
        <f>P995</f>
        <v>1500000</v>
      </c>
      <c r="Q994" s="244">
        <f t="shared" si="1080"/>
        <v>0</v>
      </c>
      <c r="R994" s="244">
        <f t="shared" si="1080"/>
        <v>0</v>
      </c>
      <c r="S994" s="244">
        <f t="shared" si="1080"/>
        <v>0</v>
      </c>
      <c r="T994" s="244">
        <f t="shared" si="1080"/>
        <v>0</v>
      </c>
      <c r="U994" s="244">
        <f t="shared" si="1080"/>
        <v>0</v>
      </c>
      <c r="V994" s="244">
        <f t="shared" si="1074"/>
        <v>1500000</v>
      </c>
      <c r="W994" s="244">
        <f t="shared" si="1074"/>
        <v>0</v>
      </c>
      <c r="X994" s="244">
        <f t="shared" si="1074"/>
        <v>0</v>
      </c>
    </row>
    <row r="995" spans="1:24" s="229" customFormat="1" ht="25.5" hidden="1">
      <c r="A995" s="240" t="s">
        <v>260</v>
      </c>
      <c r="B995" s="227" t="s">
        <v>402</v>
      </c>
      <c r="C995" s="227" t="s">
        <v>16</v>
      </c>
      <c r="D995" s="227" t="s">
        <v>31</v>
      </c>
      <c r="E995" s="227" t="s">
        <v>82</v>
      </c>
      <c r="F995" s="227" t="s">
        <v>70</v>
      </c>
      <c r="G995" s="227" t="s">
        <v>148</v>
      </c>
      <c r="H995" s="227" t="s">
        <v>352</v>
      </c>
      <c r="I995" s="237" t="s">
        <v>94</v>
      </c>
      <c r="J995" s="244"/>
      <c r="K995" s="244"/>
      <c r="L995" s="244"/>
      <c r="M995" s="244"/>
      <c r="N995" s="244"/>
      <c r="O995" s="244"/>
      <c r="P995" s="244">
        <f>P996</f>
        <v>1500000</v>
      </c>
      <c r="Q995" s="244">
        <f t="shared" si="1080"/>
        <v>0</v>
      </c>
      <c r="R995" s="244">
        <f t="shared" si="1080"/>
        <v>0</v>
      </c>
      <c r="S995" s="244">
        <f t="shared" si="1080"/>
        <v>0</v>
      </c>
      <c r="T995" s="244">
        <f t="shared" si="1080"/>
        <v>0</v>
      </c>
      <c r="U995" s="244">
        <f t="shared" si="1080"/>
        <v>0</v>
      </c>
      <c r="V995" s="244">
        <f t="shared" si="1074"/>
        <v>1500000</v>
      </c>
      <c r="W995" s="244">
        <f t="shared" si="1074"/>
        <v>0</v>
      </c>
      <c r="X995" s="244">
        <f t="shared" si="1074"/>
        <v>0</v>
      </c>
    </row>
    <row r="996" spans="1:24" s="229" customFormat="1" ht="25.5" hidden="1">
      <c r="A996" s="239" t="s">
        <v>98</v>
      </c>
      <c r="B996" s="227" t="s">
        <v>402</v>
      </c>
      <c r="C996" s="227" t="s">
        <v>16</v>
      </c>
      <c r="D996" s="227" t="s">
        <v>31</v>
      </c>
      <c r="E996" s="227" t="s">
        <v>82</v>
      </c>
      <c r="F996" s="227" t="s">
        <v>70</v>
      </c>
      <c r="G996" s="227" t="s">
        <v>148</v>
      </c>
      <c r="H996" s="227" t="s">
        <v>352</v>
      </c>
      <c r="I996" s="237" t="s">
        <v>95</v>
      </c>
      <c r="J996" s="244"/>
      <c r="K996" s="244"/>
      <c r="L996" s="244"/>
      <c r="M996" s="244"/>
      <c r="N996" s="244"/>
      <c r="O996" s="244"/>
      <c r="P996" s="244">
        <v>1500000</v>
      </c>
      <c r="Q996" s="244">
        <v>0</v>
      </c>
      <c r="R996" s="244">
        <v>0</v>
      </c>
      <c r="S996" s="244"/>
      <c r="T996" s="244"/>
      <c r="U996" s="244"/>
      <c r="V996" s="244">
        <f t="shared" ref="V996:X1011" si="1081">P996+S996</f>
        <v>1500000</v>
      </c>
      <c r="W996" s="244">
        <f t="shared" si="1081"/>
        <v>0</v>
      </c>
      <c r="X996" s="244">
        <f t="shared" si="1081"/>
        <v>0</v>
      </c>
    </row>
    <row r="997" spans="1:24" s="229" customFormat="1" ht="15.75" hidden="1">
      <c r="A997" s="273" t="s">
        <v>46</v>
      </c>
      <c r="B997" s="274" t="s">
        <v>402</v>
      </c>
      <c r="C997" s="274" t="s">
        <v>18</v>
      </c>
      <c r="D997" s="274"/>
      <c r="E997" s="274"/>
      <c r="F997" s="274"/>
      <c r="G997" s="274"/>
      <c r="H997" s="274"/>
      <c r="I997" s="275"/>
      <c r="J997" s="228"/>
      <c r="K997" s="228"/>
      <c r="L997" s="228"/>
      <c r="M997" s="228"/>
      <c r="N997" s="228"/>
      <c r="O997" s="228"/>
      <c r="P997" s="228">
        <f t="shared" ref="P997:U997" si="1082">P998+P1014+P1038+P1059</f>
        <v>26144213.229999997</v>
      </c>
      <c r="Q997" s="228">
        <f t="shared" si="1082"/>
        <v>9676805.0099999998</v>
      </c>
      <c r="R997" s="228">
        <f t="shared" si="1082"/>
        <v>7641063.7999999998</v>
      </c>
      <c r="S997" s="228">
        <f t="shared" si="1082"/>
        <v>559412.35</v>
      </c>
      <c r="T997" s="228">
        <f t="shared" si="1082"/>
        <v>0</v>
      </c>
      <c r="U997" s="228">
        <f t="shared" si="1082"/>
        <v>0</v>
      </c>
      <c r="V997" s="228">
        <f t="shared" si="1081"/>
        <v>26703625.579999998</v>
      </c>
      <c r="W997" s="228">
        <f t="shared" si="1081"/>
        <v>9676805.0099999998</v>
      </c>
      <c r="X997" s="228">
        <f t="shared" si="1081"/>
        <v>7641063.7999999998</v>
      </c>
    </row>
    <row r="998" spans="1:24" s="229" customFormat="1" hidden="1">
      <c r="A998" s="276" t="s">
        <v>61</v>
      </c>
      <c r="B998" s="232" t="s">
        <v>402</v>
      </c>
      <c r="C998" s="232" t="s">
        <v>18</v>
      </c>
      <c r="D998" s="232" t="s">
        <v>20</v>
      </c>
      <c r="E998" s="232"/>
      <c r="F998" s="232"/>
      <c r="G998" s="232"/>
      <c r="H998" s="232"/>
      <c r="I998" s="233"/>
      <c r="J998" s="234"/>
      <c r="K998" s="234"/>
      <c r="L998" s="234"/>
      <c r="M998" s="234"/>
      <c r="N998" s="234"/>
      <c r="O998" s="234"/>
      <c r="P998" s="234">
        <f>P999</f>
        <v>12152137.199999999</v>
      </c>
      <c r="Q998" s="234">
        <f t="shared" ref="Q998:U999" si="1083">Q999</f>
        <v>0</v>
      </c>
      <c r="R998" s="234">
        <f t="shared" si="1083"/>
        <v>0</v>
      </c>
      <c r="S998" s="234">
        <f t="shared" si="1083"/>
        <v>10662.8</v>
      </c>
      <c r="T998" s="234">
        <f t="shared" si="1083"/>
        <v>0</v>
      </c>
      <c r="U998" s="234">
        <f t="shared" si="1083"/>
        <v>0</v>
      </c>
      <c r="V998" s="234">
        <f t="shared" si="1081"/>
        <v>12162800</v>
      </c>
      <c r="W998" s="234">
        <f t="shared" si="1081"/>
        <v>0</v>
      </c>
      <c r="X998" s="234">
        <f t="shared" si="1081"/>
        <v>0</v>
      </c>
    </row>
    <row r="999" spans="1:24" s="229" customFormat="1" ht="38.25" hidden="1">
      <c r="A999" s="235" t="s">
        <v>289</v>
      </c>
      <c r="B999" s="227" t="s">
        <v>402</v>
      </c>
      <c r="C999" s="227" t="s">
        <v>18</v>
      </c>
      <c r="D999" s="227" t="s">
        <v>20</v>
      </c>
      <c r="E999" s="227" t="s">
        <v>27</v>
      </c>
      <c r="F999" s="227" t="s">
        <v>70</v>
      </c>
      <c r="G999" s="227" t="s">
        <v>148</v>
      </c>
      <c r="H999" s="227" t="s">
        <v>149</v>
      </c>
      <c r="I999" s="237"/>
      <c r="J999" s="238"/>
      <c r="K999" s="238"/>
      <c r="L999" s="238"/>
      <c r="M999" s="238"/>
      <c r="N999" s="238"/>
      <c r="O999" s="238"/>
      <c r="P999" s="238">
        <f>P1000</f>
        <v>12152137.199999999</v>
      </c>
      <c r="Q999" s="238">
        <f t="shared" si="1083"/>
        <v>0</v>
      </c>
      <c r="R999" s="238">
        <f t="shared" si="1083"/>
        <v>0</v>
      </c>
      <c r="S999" s="238">
        <f t="shared" si="1083"/>
        <v>10662.8</v>
      </c>
      <c r="T999" s="238">
        <f t="shared" si="1083"/>
        <v>0</v>
      </c>
      <c r="U999" s="238">
        <f t="shared" si="1083"/>
        <v>0</v>
      </c>
      <c r="V999" s="238">
        <f t="shared" si="1081"/>
        <v>12162800</v>
      </c>
      <c r="W999" s="238">
        <f t="shared" si="1081"/>
        <v>0</v>
      </c>
      <c r="X999" s="238">
        <f t="shared" si="1081"/>
        <v>0</v>
      </c>
    </row>
    <row r="1000" spans="1:24" s="229" customFormat="1" hidden="1">
      <c r="A1000" s="268" t="s">
        <v>215</v>
      </c>
      <c r="B1000" s="227" t="s">
        <v>402</v>
      </c>
      <c r="C1000" s="227" t="s">
        <v>18</v>
      </c>
      <c r="D1000" s="227" t="s">
        <v>20</v>
      </c>
      <c r="E1000" s="227" t="s">
        <v>27</v>
      </c>
      <c r="F1000" s="227" t="s">
        <v>127</v>
      </c>
      <c r="G1000" s="227" t="s">
        <v>148</v>
      </c>
      <c r="H1000" s="227" t="s">
        <v>149</v>
      </c>
      <c r="I1000" s="237"/>
      <c r="J1000" s="238"/>
      <c r="K1000" s="238"/>
      <c r="L1000" s="238"/>
      <c r="M1000" s="238"/>
      <c r="N1000" s="238"/>
      <c r="O1000" s="238"/>
      <c r="P1000" s="238">
        <f>P1001+P1004+P1009</f>
        <v>12152137.199999999</v>
      </c>
      <c r="Q1000" s="238">
        <f t="shared" ref="Q1000:U1000" si="1084">Q1001+Q1004+Q1009</f>
        <v>0</v>
      </c>
      <c r="R1000" s="238">
        <f t="shared" si="1084"/>
        <v>0</v>
      </c>
      <c r="S1000" s="238">
        <f t="shared" si="1084"/>
        <v>10662.8</v>
      </c>
      <c r="T1000" s="238">
        <f t="shared" si="1084"/>
        <v>0</v>
      </c>
      <c r="U1000" s="238">
        <f t="shared" si="1084"/>
        <v>0</v>
      </c>
      <c r="V1000" s="238">
        <f t="shared" si="1081"/>
        <v>12162800</v>
      </c>
      <c r="W1000" s="238">
        <f t="shared" si="1081"/>
        <v>0</v>
      </c>
      <c r="X1000" s="238">
        <f t="shared" si="1081"/>
        <v>0</v>
      </c>
    </row>
    <row r="1001" spans="1:24" s="229" customFormat="1" hidden="1">
      <c r="A1001" s="268" t="s">
        <v>355</v>
      </c>
      <c r="B1001" s="227" t="s">
        <v>402</v>
      </c>
      <c r="C1001" s="227" t="s">
        <v>18</v>
      </c>
      <c r="D1001" s="227" t="s">
        <v>20</v>
      </c>
      <c r="E1001" s="227" t="s">
        <v>27</v>
      </c>
      <c r="F1001" s="227" t="s">
        <v>127</v>
      </c>
      <c r="G1001" s="227" t="s">
        <v>148</v>
      </c>
      <c r="H1001" s="227" t="s">
        <v>354</v>
      </c>
      <c r="I1001" s="237"/>
      <c r="J1001" s="238"/>
      <c r="K1001" s="238"/>
      <c r="L1001" s="238"/>
      <c r="M1001" s="238"/>
      <c r="N1001" s="238"/>
      <c r="O1001" s="238"/>
      <c r="P1001" s="238">
        <f>P1002</f>
        <v>1500000</v>
      </c>
      <c r="Q1001" s="238">
        <f t="shared" ref="Q1001:U1002" si="1085">Q1002</f>
        <v>0</v>
      </c>
      <c r="R1001" s="238">
        <f t="shared" si="1085"/>
        <v>0</v>
      </c>
      <c r="S1001" s="238">
        <f t="shared" si="1085"/>
        <v>0</v>
      </c>
      <c r="T1001" s="238">
        <f t="shared" si="1085"/>
        <v>0</v>
      </c>
      <c r="U1001" s="238">
        <f t="shared" si="1085"/>
        <v>0</v>
      </c>
      <c r="V1001" s="238">
        <f t="shared" si="1081"/>
        <v>1500000</v>
      </c>
      <c r="W1001" s="238">
        <f t="shared" si="1081"/>
        <v>0</v>
      </c>
      <c r="X1001" s="238">
        <f t="shared" si="1081"/>
        <v>0</v>
      </c>
    </row>
    <row r="1002" spans="1:24" s="229" customFormat="1" ht="25.5" hidden="1">
      <c r="A1002" s="240" t="s">
        <v>260</v>
      </c>
      <c r="B1002" s="227" t="s">
        <v>402</v>
      </c>
      <c r="C1002" s="227" t="s">
        <v>18</v>
      </c>
      <c r="D1002" s="227" t="s">
        <v>20</v>
      </c>
      <c r="E1002" s="227" t="s">
        <v>27</v>
      </c>
      <c r="F1002" s="227" t="s">
        <v>127</v>
      </c>
      <c r="G1002" s="227" t="s">
        <v>148</v>
      </c>
      <c r="H1002" s="227" t="s">
        <v>354</v>
      </c>
      <c r="I1002" s="237" t="s">
        <v>94</v>
      </c>
      <c r="J1002" s="238"/>
      <c r="K1002" s="238"/>
      <c r="L1002" s="238"/>
      <c r="M1002" s="238"/>
      <c r="N1002" s="238"/>
      <c r="O1002" s="238"/>
      <c r="P1002" s="238">
        <f>P1003</f>
        <v>1500000</v>
      </c>
      <c r="Q1002" s="238">
        <f t="shared" si="1085"/>
        <v>0</v>
      </c>
      <c r="R1002" s="238">
        <f t="shared" si="1085"/>
        <v>0</v>
      </c>
      <c r="S1002" s="238">
        <f t="shared" si="1085"/>
        <v>0</v>
      </c>
      <c r="T1002" s="238">
        <f t="shared" si="1085"/>
        <v>0</v>
      </c>
      <c r="U1002" s="238">
        <f t="shared" si="1085"/>
        <v>0</v>
      </c>
      <c r="V1002" s="238">
        <f t="shared" si="1081"/>
        <v>1500000</v>
      </c>
      <c r="W1002" s="238">
        <f t="shared" si="1081"/>
        <v>0</v>
      </c>
      <c r="X1002" s="238">
        <f t="shared" si="1081"/>
        <v>0</v>
      </c>
    </row>
    <row r="1003" spans="1:24" s="229" customFormat="1" ht="25.5" hidden="1">
      <c r="A1003" s="239" t="s">
        <v>98</v>
      </c>
      <c r="B1003" s="227" t="s">
        <v>402</v>
      </c>
      <c r="C1003" s="227" t="s">
        <v>18</v>
      </c>
      <c r="D1003" s="227" t="s">
        <v>20</v>
      </c>
      <c r="E1003" s="227" t="s">
        <v>27</v>
      </c>
      <c r="F1003" s="227" t="s">
        <v>127</v>
      </c>
      <c r="G1003" s="227" t="s">
        <v>148</v>
      </c>
      <c r="H1003" s="227" t="s">
        <v>354</v>
      </c>
      <c r="I1003" s="237" t="s">
        <v>95</v>
      </c>
      <c r="J1003" s="238"/>
      <c r="K1003" s="238"/>
      <c r="L1003" s="238"/>
      <c r="M1003" s="238"/>
      <c r="N1003" s="238"/>
      <c r="O1003" s="238"/>
      <c r="P1003" s="238">
        <v>1500000</v>
      </c>
      <c r="Q1003" s="238">
        <v>0</v>
      </c>
      <c r="R1003" s="238">
        <v>0</v>
      </c>
      <c r="S1003" s="238"/>
      <c r="T1003" s="238"/>
      <c r="U1003" s="238"/>
      <c r="V1003" s="238">
        <f t="shared" si="1081"/>
        <v>1500000</v>
      </c>
      <c r="W1003" s="238">
        <f t="shared" si="1081"/>
        <v>0</v>
      </c>
      <c r="X1003" s="238">
        <f t="shared" si="1081"/>
        <v>0</v>
      </c>
    </row>
    <row r="1004" spans="1:24" s="229" customFormat="1" ht="69.75" hidden="1" customHeight="1">
      <c r="A1004" s="297" t="s">
        <v>255</v>
      </c>
      <c r="B1004" s="227" t="s">
        <v>402</v>
      </c>
      <c r="C1004" s="236" t="s">
        <v>18</v>
      </c>
      <c r="D1004" s="236" t="s">
        <v>20</v>
      </c>
      <c r="E1004" s="236" t="s">
        <v>27</v>
      </c>
      <c r="F1004" s="236" t="s">
        <v>127</v>
      </c>
      <c r="G1004" s="236" t="s">
        <v>256</v>
      </c>
      <c r="H1004" s="236" t="s">
        <v>257</v>
      </c>
      <c r="I1004" s="277"/>
      <c r="J1004" s="238"/>
      <c r="K1004" s="238"/>
      <c r="L1004" s="238"/>
      <c r="M1004" s="238"/>
      <c r="N1004" s="238"/>
      <c r="O1004" s="238"/>
      <c r="P1004" s="238">
        <f>P1005+P1007</f>
        <v>10449544</v>
      </c>
      <c r="Q1004" s="238">
        <f t="shared" ref="Q1004:U1004" si="1086">Q1005+Q1007</f>
        <v>0</v>
      </c>
      <c r="R1004" s="238">
        <f t="shared" si="1086"/>
        <v>0</v>
      </c>
      <c r="S1004" s="238">
        <f t="shared" si="1086"/>
        <v>0</v>
      </c>
      <c r="T1004" s="238">
        <f t="shared" si="1086"/>
        <v>0</v>
      </c>
      <c r="U1004" s="238">
        <f t="shared" si="1086"/>
        <v>0</v>
      </c>
      <c r="V1004" s="238">
        <f t="shared" si="1081"/>
        <v>10449544</v>
      </c>
      <c r="W1004" s="238">
        <f t="shared" si="1081"/>
        <v>0</v>
      </c>
      <c r="X1004" s="238">
        <f t="shared" si="1081"/>
        <v>0</v>
      </c>
    </row>
    <row r="1005" spans="1:24" s="229" customFormat="1" ht="25.5" hidden="1">
      <c r="A1005" s="268" t="s">
        <v>120</v>
      </c>
      <c r="B1005" s="227" t="s">
        <v>402</v>
      </c>
      <c r="C1005" s="236" t="s">
        <v>18</v>
      </c>
      <c r="D1005" s="236" t="s">
        <v>20</v>
      </c>
      <c r="E1005" s="236" t="s">
        <v>27</v>
      </c>
      <c r="F1005" s="236" t="s">
        <v>127</v>
      </c>
      <c r="G1005" s="236" t="s">
        <v>256</v>
      </c>
      <c r="H1005" s="236" t="s">
        <v>257</v>
      </c>
      <c r="I1005" s="277" t="s">
        <v>118</v>
      </c>
      <c r="J1005" s="238"/>
      <c r="K1005" s="238"/>
      <c r="L1005" s="238"/>
      <c r="M1005" s="238"/>
      <c r="N1005" s="238"/>
      <c r="O1005" s="238"/>
      <c r="P1005" s="238">
        <f>P1006</f>
        <v>9299544</v>
      </c>
      <c r="Q1005" s="238">
        <f t="shared" ref="Q1005:U1005" si="1087">Q1006</f>
        <v>0</v>
      </c>
      <c r="R1005" s="238">
        <f t="shared" si="1087"/>
        <v>0</v>
      </c>
      <c r="S1005" s="238">
        <f t="shared" si="1087"/>
        <v>0</v>
      </c>
      <c r="T1005" s="238">
        <f t="shared" si="1087"/>
        <v>0</v>
      </c>
      <c r="U1005" s="238">
        <f t="shared" si="1087"/>
        <v>0</v>
      </c>
      <c r="V1005" s="238">
        <f t="shared" si="1081"/>
        <v>9299544</v>
      </c>
      <c r="W1005" s="238">
        <f t="shared" si="1081"/>
        <v>0</v>
      </c>
      <c r="X1005" s="238">
        <f t="shared" si="1081"/>
        <v>0</v>
      </c>
    </row>
    <row r="1006" spans="1:24" s="229" customFormat="1" hidden="1">
      <c r="A1006" s="268" t="s">
        <v>121</v>
      </c>
      <c r="B1006" s="227" t="s">
        <v>402</v>
      </c>
      <c r="C1006" s="236" t="s">
        <v>18</v>
      </c>
      <c r="D1006" s="236" t="s">
        <v>20</v>
      </c>
      <c r="E1006" s="236" t="s">
        <v>27</v>
      </c>
      <c r="F1006" s="236" t="s">
        <v>127</v>
      </c>
      <c r="G1006" s="236" t="s">
        <v>256</v>
      </c>
      <c r="H1006" s="236" t="s">
        <v>257</v>
      </c>
      <c r="I1006" s="277" t="s">
        <v>119</v>
      </c>
      <c r="J1006" s="238"/>
      <c r="K1006" s="238"/>
      <c r="L1006" s="238"/>
      <c r="M1006" s="238"/>
      <c r="N1006" s="238"/>
      <c r="O1006" s="238"/>
      <c r="P1006" s="238">
        <v>9299544</v>
      </c>
      <c r="Q1006" s="238">
        <v>0</v>
      </c>
      <c r="R1006" s="238">
        <v>0</v>
      </c>
      <c r="S1006" s="238"/>
      <c r="T1006" s="238"/>
      <c r="U1006" s="238"/>
      <c r="V1006" s="238">
        <f t="shared" si="1081"/>
        <v>9299544</v>
      </c>
      <c r="W1006" s="238">
        <f t="shared" si="1081"/>
        <v>0</v>
      </c>
      <c r="X1006" s="238">
        <f t="shared" si="1081"/>
        <v>0</v>
      </c>
    </row>
    <row r="1007" spans="1:24" s="229" customFormat="1" hidden="1">
      <c r="A1007" s="239" t="s">
        <v>80</v>
      </c>
      <c r="B1007" s="227" t="s">
        <v>402</v>
      </c>
      <c r="C1007" s="236" t="s">
        <v>18</v>
      </c>
      <c r="D1007" s="236" t="s">
        <v>20</v>
      </c>
      <c r="E1007" s="236" t="s">
        <v>27</v>
      </c>
      <c r="F1007" s="236" t="s">
        <v>127</v>
      </c>
      <c r="G1007" s="236" t="s">
        <v>256</v>
      </c>
      <c r="H1007" s="236" t="s">
        <v>257</v>
      </c>
      <c r="I1007" s="277" t="s">
        <v>77</v>
      </c>
      <c r="J1007" s="238"/>
      <c r="K1007" s="238"/>
      <c r="L1007" s="238"/>
      <c r="M1007" s="238"/>
      <c r="N1007" s="238"/>
      <c r="O1007" s="238"/>
      <c r="P1007" s="238">
        <f>P1008</f>
        <v>1150000</v>
      </c>
      <c r="Q1007" s="238">
        <f t="shared" ref="Q1007:U1007" si="1088">Q1008</f>
        <v>0</v>
      </c>
      <c r="R1007" s="238">
        <f t="shared" si="1088"/>
        <v>0</v>
      </c>
      <c r="S1007" s="238">
        <f t="shared" si="1088"/>
        <v>0</v>
      </c>
      <c r="T1007" s="238">
        <f t="shared" si="1088"/>
        <v>0</v>
      </c>
      <c r="U1007" s="238">
        <f t="shared" si="1088"/>
        <v>0</v>
      </c>
      <c r="V1007" s="238">
        <f t="shared" si="1081"/>
        <v>1150000</v>
      </c>
      <c r="W1007" s="238">
        <f t="shared" si="1081"/>
        <v>0</v>
      </c>
      <c r="X1007" s="238">
        <f t="shared" si="1081"/>
        <v>0</v>
      </c>
    </row>
    <row r="1008" spans="1:24" s="229" customFormat="1" hidden="1">
      <c r="A1008" s="241" t="s">
        <v>125</v>
      </c>
      <c r="B1008" s="227" t="s">
        <v>402</v>
      </c>
      <c r="C1008" s="236" t="s">
        <v>18</v>
      </c>
      <c r="D1008" s="236" t="s">
        <v>20</v>
      </c>
      <c r="E1008" s="236" t="s">
        <v>27</v>
      </c>
      <c r="F1008" s="236" t="s">
        <v>127</v>
      </c>
      <c r="G1008" s="236" t="s">
        <v>256</v>
      </c>
      <c r="H1008" s="236" t="s">
        <v>257</v>
      </c>
      <c r="I1008" s="277" t="s">
        <v>124</v>
      </c>
      <c r="J1008" s="238"/>
      <c r="K1008" s="238"/>
      <c r="L1008" s="238"/>
      <c r="M1008" s="238"/>
      <c r="N1008" s="238"/>
      <c r="O1008" s="238"/>
      <c r="P1008" s="238">
        <v>1150000</v>
      </c>
      <c r="Q1008" s="238">
        <v>0</v>
      </c>
      <c r="R1008" s="238">
        <v>0</v>
      </c>
      <c r="S1008" s="238"/>
      <c r="T1008" s="238"/>
      <c r="U1008" s="238"/>
      <c r="V1008" s="238">
        <f t="shared" si="1081"/>
        <v>1150000</v>
      </c>
      <c r="W1008" s="238">
        <f t="shared" si="1081"/>
        <v>0</v>
      </c>
      <c r="X1008" s="238">
        <f t="shared" si="1081"/>
        <v>0</v>
      </c>
    </row>
    <row r="1009" spans="1:24" s="229" customFormat="1" ht="52.5" hidden="1" customHeight="1">
      <c r="A1009" s="297" t="s">
        <v>258</v>
      </c>
      <c r="B1009" s="227" t="s">
        <v>402</v>
      </c>
      <c r="C1009" s="236" t="s">
        <v>18</v>
      </c>
      <c r="D1009" s="236" t="s">
        <v>20</v>
      </c>
      <c r="E1009" s="236" t="s">
        <v>27</v>
      </c>
      <c r="F1009" s="236" t="s">
        <v>127</v>
      </c>
      <c r="G1009" s="236" t="s">
        <v>256</v>
      </c>
      <c r="H1009" s="236" t="s">
        <v>259</v>
      </c>
      <c r="I1009" s="277"/>
      <c r="J1009" s="238"/>
      <c r="K1009" s="238"/>
      <c r="L1009" s="238"/>
      <c r="M1009" s="238"/>
      <c r="N1009" s="238"/>
      <c r="O1009" s="238"/>
      <c r="P1009" s="238">
        <f>P1010+P1012</f>
        <v>202593.2</v>
      </c>
      <c r="Q1009" s="238">
        <f t="shared" ref="Q1009:U1009" si="1089">Q1010+Q1012</f>
        <v>0</v>
      </c>
      <c r="R1009" s="238">
        <f t="shared" si="1089"/>
        <v>0</v>
      </c>
      <c r="S1009" s="238">
        <f t="shared" si="1089"/>
        <v>10662.8</v>
      </c>
      <c r="T1009" s="238">
        <f t="shared" si="1089"/>
        <v>0</v>
      </c>
      <c r="U1009" s="238">
        <f t="shared" si="1089"/>
        <v>0</v>
      </c>
      <c r="V1009" s="238">
        <f t="shared" si="1081"/>
        <v>213256</v>
      </c>
      <c r="W1009" s="238">
        <f t="shared" si="1081"/>
        <v>0</v>
      </c>
      <c r="X1009" s="238">
        <f t="shared" si="1081"/>
        <v>0</v>
      </c>
    </row>
    <row r="1010" spans="1:24" s="229" customFormat="1" ht="25.5" hidden="1">
      <c r="A1010" s="268" t="s">
        <v>120</v>
      </c>
      <c r="B1010" s="227" t="s">
        <v>402</v>
      </c>
      <c r="C1010" s="236" t="s">
        <v>18</v>
      </c>
      <c r="D1010" s="236" t="s">
        <v>20</v>
      </c>
      <c r="E1010" s="236" t="s">
        <v>27</v>
      </c>
      <c r="F1010" s="236" t="s">
        <v>127</v>
      </c>
      <c r="G1010" s="236" t="s">
        <v>256</v>
      </c>
      <c r="H1010" s="236" t="s">
        <v>259</v>
      </c>
      <c r="I1010" s="277" t="s">
        <v>118</v>
      </c>
      <c r="J1010" s="238"/>
      <c r="K1010" s="238"/>
      <c r="L1010" s="238"/>
      <c r="M1010" s="238"/>
      <c r="N1010" s="238"/>
      <c r="O1010" s="238"/>
      <c r="P1010" s="238">
        <f>P1011</f>
        <v>180393.2</v>
      </c>
      <c r="Q1010" s="238">
        <f t="shared" ref="Q1010:U1010" si="1090">Q1011</f>
        <v>0</v>
      </c>
      <c r="R1010" s="238">
        <f t="shared" si="1090"/>
        <v>0</v>
      </c>
      <c r="S1010" s="238">
        <f t="shared" si="1090"/>
        <v>9494.3799999999992</v>
      </c>
      <c r="T1010" s="238">
        <f t="shared" si="1090"/>
        <v>0</v>
      </c>
      <c r="U1010" s="238">
        <f t="shared" si="1090"/>
        <v>0</v>
      </c>
      <c r="V1010" s="238">
        <f t="shared" si="1081"/>
        <v>189887.58000000002</v>
      </c>
      <c r="W1010" s="238">
        <f t="shared" si="1081"/>
        <v>0</v>
      </c>
      <c r="X1010" s="238">
        <f t="shared" si="1081"/>
        <v>0</v>
      </c>
    </row>
    <row r="1011" spans="1:24" s="229" customFormat="1" hidden="1">
      <c r="A1011" s="268" t="s">
        <v>121</v>
      </c>
      <c r="B1011" s="227" t="s">
        <v>402</v>
      </c>
      <c r="C1011" s="236" t="s">
        <v>18</v>
      </c>
      <c r="D1011" s="236" t="s">
        <v>20</v>
      </c>
      <c r="E1011" s="236" t="s">
        <v>27</v>
      </c>
      <c r="F1011" s="236" t="s">
        <v>127</v>
      </c>
      <c r="G1011" s="236" t="s">
        <v>256</v>
      </c>
      <c r="H1011" s="236" t="s">
        <v>259</v>
      </c>
      <c r="I1011" s="277" t="s">
        <v>119</v>
      </c>
      <c r="J1011" s="238"/>
      <c r="K1011" s="238"/>
      <c r="L1011" s="238"/>
      <c r="M1011" s="238"/>
      <c r="N1011" s="238"/>
      <c r="O1011" s="238"/>
      <c r="P1011" s="238">
        <v>180393.2</v>
      </c>
      <c r="Q1011" s="238">
        <v>0</v>
      </c>
      <c r="R1011" s="238">
        <v>0</v>
      </c>
      <c r="S1011" s="238">
        <v>9494.3799999999992</v>
      </c>
      <c r="T1011" s="238"/>
      <c r="U1011" s="238"/>
      <c r="V1011" s="238">
        <f t="shared" si="1081"/>
        <v>189887.58000000002</v>
      </c>
      <c r="W1011" s="238">
        <f t="shared" si="1081"/>
        <v>0</v>
      </c>
      <c r="X1011" s="238">
        <f t="shared" si="1081"/>
        <v>0</v>
      </c>
    </row>
    <row r="1012" spans="1:24" s="229" customFormat="1" hidden="1">
      <c r="A1012" s="239" t="s">
        <v>80</v>
      </c>
      <c r="B1012" s="227" t="s">
        <v>402</v>
      </c>
      <c r="C1012" s="236" t="s">
        <v>18</v>
      </c>
      <c r="D1012" s="236" t="s">
        <v>20</v>
      </c>
      <c r="E1012" s="236" t="s">
        <v>27</v>
      </c>
      <c r="F1012" s="236" t="s">
        <v>127</v>
      </c>
      <c r="G1012" s="236" t="s">
        <v>256</v>
      </c>
      <c r="H1012" s="236" t="s">
        <v>259</v>
      </c>
      <c r="I1012" s="277" t="s">
        <v>77</v>
      </c>
      <c r="J1012" s="238"/>
      <c r="K1012" s="238"/>
      <c r="L1012" s="238"/>
      <c r="M1012" s="238"/>
      <c r="N1012" s="238"/>
      <c r="O1012" s="238"/>
      <c r="P1012" s="238">
        <f>P1013</f>
        <v>22200</v>
      </c>
      <c r="Q1012" s="238">
        <f t="shared" ref="Q1012:U1012" si="1091">Q1013</f>
        <v>0</v>
      </c>
      <c r="R1012" s="238">
        <f t="shared" si="1091"/>
        <v>0</v>
      </c>
      <c r="S1012" s="238">
        <f t="shared" si="1091"/>
        <v>1168.42</v>
      </c>
      <c r="T1012" s="238">
        <f t="shared" si="1091"/>
        <v>0</v>
      </c>
      <c r="U1012" s="238">
        <f t="shared" si="1091"/>
        <v>0</v>
      </c>
      <c r="V1012" s="238">
        <f t="shared" ref="V1012:X1028" si="1092">P1012+S1012</f>
        <v>23368.42</v>
      </c>
      <c r="W1012" s="238">
        <f t="shared" si="1092"/>
        <v>0</v>
      </c>
      <c r="X1012" s="238">
        <f t="shared" si="1092"/>
        <v>0</v>
      </c>
    </row>
    <row r="1013" spans="1:24" s="229" customFormat="1" hidden="1">
      <c r="A1013" s="241" t="s">
        <v>125</v>
      </c>
      <c r="B1013" s="227" t="s">
        <v>402</v>
      </c>
      <c r="C1013" s="236" t="s">
        <v>18</v>
      </c>
      <c r="D1013" s="236" t="s">
        <v>20</v>
      </c>
      <c r="E1013" s="236" t="s">
        <v>27</v>
      </c>
      <c r="F1013" s="236" t="s">
        <v>127</v>
      </c>
      <c r="G1013" s="236" t="s">
        <v>256</v>
      </c>
      <c r="H1013" s="236" t="s">
        <v>259</v>
      </c>
      <c r="I1013" s="277" t="s">
        <v>124</v>
      </c>
      <c r="J1013" s="238"/>
      <c r="K1013" s="238"/>
      <c r="L1013" s="238"/>
      <c r="M1013" s="238"/>
      <c r="N1013" s="238"/>
      <c r="O1013" s="238"/>
      <c r="P1013" s="238">
        <v>22200</v>
      </c>
      <c r="Q1013" s="238">
        <v>0</v>
      </c>
      <c r="R1013" s="238">
        <v>0</v>
      </c>
      <c r="S1013" s="238">
        <v>1168.42</v>
      </c>
      <c r="T1013" s="238"/>
      <c r="U1013" s="238"/>
      <c r="V1013" s="238">
        <f t="shared" si="1092"/>
        <v>23368.42</v>
      </c>
      <c r="W1013" s="238">
        <f t="shared" si="1092"/>
        <v>0</v>
      </c>
      <c r="X1013" s="238">
        <f t="shared" si="1092"/>
        <v>0</v>
      </c>
    </row>
    <row r="1014" spans="1:24" s="229" customFormat="1" hidden="1">
      <c r="A1014" s="278" t="s">
        <v>47</v>
      </c>
      <c r="B1014" s="232" t="s">
        <v>402</v>
      </c>
      <c r="C1014" s="232" t="s">
        <v>18</v>
      </c>
      <c r="D1014" s="232" t="s">
        <v>17</v>
      </c>
      <c r="E1014" s="232"/>
      <c r="F1014" s="232"/>
      <c r="G1014" s="232"/>
      <c r="H1014" s="232"/>
      <c r="I1014" s="233"/>
      <c r="J1014" s="234"/>
      <c r="K1014" s="234"/>
      <c r="L1014" s="234"/>
      <c r="M1014" s="234"/>
      <c r="N1014" s="234"/>
      <c r="O1014" s="234"/>
      <c r="P1014" s="234">
        <f>P1015+P1022+P1027+P1031</f>
        <v>8830918</v>
      </c>
      <c r="Q1014" s="234">
        <f t="shared" ref="Q1014:U1014" si="1093">Q1015+Q1022+Q1027+Q1031</f>
        <v>6385726.8499999996</v>
      </c>
      <c r="R1014" s="234">
        <f t="shared" si="1093"/>
        <v>6570874.6799999997</v>
      </c>
      <c r="S1014" s="234">
        <f t="shared" si="1093"/>
        <v>-1182577.6400000001</v>
      </c>
      <c r="T1014" s="234">
        <f t="shared" si="1093"/>
        <v>0</v>
      </c>
      <c r="U1014" s="234">
        <f t="shared" si="1093"/>
        <v>0</v>
      </c>
      <c r="V1014" s="234">
        <f t="shared" si="1092"/>
        <v>7648340.3599999994</v>
      </c>
      <c r="W1014" s="234">
        <f t="shared" si="1092"/>
        <v>6385726.8499999996</v>
      </c>
      <c r="X1014" s="234">
        <f t="shared" si="1092"/>
        <v>6570874.6799999997</v>
      </c>
    </row>
    <row r="1015" spans="1:24" s="229" customFormat="1" ht="38.25" hidden="1">
      <c r="A1015" s="298" t="s">
        <v>286</v>
      </c>
      <c r="B1015" s="236" t="s">
        <v>402</v>
      </c>
      <c r="C1015" s="236" t="s">
        <v>18</v>
      </c>
      <c r="D1015" s="236" t="s">
        <v>17</v>
      </c>
      <c r="E1015" s="236" t="s">
        <v>3</v>
      </c>
      <c r="F1015" s="236" t="s">
        <v>70</v>
      </c>
      <c r="G1015" s="236" t="s">
        <v>148</v>
      </c>
      <c r="H1015" s="236" t="s">
        <v>149</v>
      </c>
      <c r="I1015" s="277"/>
      <c r="J1015" s="238"/>
      <c r="K1015" s="238"/>
      <c r="L1015" s="238"/>
      <c r="M1015" s="238"/>
      <c r="N1015" s="238"/>
      <c r="O1015" s="238"/>
      <c r="P1015" s="238">
        <f>P1016+P1019</f>
        <v>1770000</v>
      </c>
      <c r="Q1015" s="238">
        <f t="shared" ref="Q1015:U1015" si="1094">Q1016+Q1019</f>
        <v>0</v>
      </c>
      <c r="R1015" s="238">
        <f t="shared" si="1094"/>
        <v>0</v>
      </c>
      <c r="S1015" s="238">
        <f t="shared" si="1094"/>
        <v>-918577.64000000013</v>
      </c>
      <c r="T1015" s="238">
        <f t="shared" si="1094"/>
        <v>0</v>
      </c>
      <c r="U1015" s="238">
        <f t="shared" si="1094"/>
        <v>0</v>
      </c>
      <c r="V1015" s="238">
        <f t="shared" si="1092"/>
        <v>851422.35999999987</v>
      </c>
      <c r="W1015" s="238">
        <f t="shared" si="1092"/>
        <v>0</v>
      </c>
      <c r="X1015" s="238">
        <f t="shared" si="1092"/>
        <v>0</v>
      </c>
    </row>
    <row r="1016" spans="1:24" s="229" customFormat="1" hidden="1">
      <c r="A1016" s="299" t="s">
        <v>356</v>
      </c>
      <c r="B1016" s="236" t="s">
        <v>402</v>
      </c>
      <c r="C1016" s="236" t="s">
        <v>18</v>
      </c>
      <c r="D1016" s="236" t="s">
        <v>17</v>
      </c>
      <c r="E1016" s="236" t="s">
        <v>3</v>
      </c>
      <c r="F1016" s="236" t="s">
        <v>70</v>
      </c>
      <c r="G1016" s="236" t="s">
        <v>148</v>
      </c>
      <c r="H1016" s="236" t="s">
        <v>271</v>
      </c>
      <c r="I1016" s="277"/>
      <c r="J1016" s="238"/>
      <c r="K1016" s="238"/>
      <c r="L1016" s="238"/>
      <c r="M1016" s="238"/>
      <c r="N1016" s="238"/>
      <c r="O1016" s="238"/>
      <c r="P1016" s="238">
        <f>P1017</f>
        <v>1770000</v>
      </c>
      <c r="Q1016" s="238">
        <f t="shared" ref="Q1016:U1017" si="1095">Q1017</f>
        <v>0</v>
      </c>
      <c r="R1016" s="238">
        <f t="shared" si="1095"/>
        <v>0</v>
      </c>
      <c r="S1016" s="238">
        <f t="shared" si="1095"/>
        <v>-1518577.6400000001</v>
      </c>
      <c r="T1016" s="238">
        <f t="shared" si="1095"/>
        <v>0</v>
      </c>
      <c r="U1016" s="238">
        <f t="shared" si="1095"/>
        <v>0</v>
      </c>
      <c r="V1016" s="238">
        <f t="shared" si="1092"/>
        <v>251422.35999999987</v>
      </c>
      <c r="W1016" s="238">
        <f t="shared" si="1092"/>
        <v>0</v>
      </c>
      <c r="X1016" s="238">
        <f t="shared" si="1092"/>
        <v>0</v>
      </c>
    </row>
    <row r="1017" spans="1:24" s="229" customFormat="1" ht="25.5" hidden="1">
      <c r="A1017" s="268" t="s">
        <v>120</v>
      </c>
      <c r="B1017" s="236" t="s">
        <v>402</v>
      </c>
      <c r="C1017" s="236" t="s">
        <v>18</v>
      </c>
      <c r="D1017" s="236" t="s">
        <v>17</v>
      </c>
      <c r="E1017" s="236" t="s">
        <v>3</v>
      </c>
      <c r="F1017" s="236" t="s">
        <v>70</v>
      </c>
      <c r="G1017" s="236" t="s">
        <v>148</v>
      </c>
      <c r="H1017" s="236" t="s">
        <v>271</v>
      </c>
      <c r="I1017" s="277" t="s">
        <v>118</v>
      </c>
      <c r="J1017" s="238"/>
      <c r="K1017" s="238"/>
      <c r="L1017" s="238"/>
      <c r="M1017" s="238"/>
      <c r="N1017" s="238"/>
      <c r="O1017" s="238"/>
      <c r="P1017" s="238">
        <f>P1018</f>
        <v>1770000</v>
      </c>
      <c r="Q1017" s="238">
        <f t="shared" si="1095"/>
        <v>0</v>
      </c>
      <c r="R1017" s="238">
        <f t="shared" si="1095"/>
        <v>0</v>
      </c>
      <c r="S1017" s="238">
        <f t="shared" si="1095"/>
        <v>-1518577.6400000001</v>
      </c>
      <c r="T1017" s="238">
        <f t="shared" si="1095"/>
        <v>0</v>
      </c>
      <c r="U1017" s="238">
        <f t="shared" si="1095"/>
        <v>0</v>
      </c>
      <c r="V1017" s="238">
        <f t="shared" si="1092"/>
        <v>251422.35999999987</v>
      </c>
      <c r="W1017" s="238">
        <f t="shared" si="1092"/>
        <v>0</v>
      </c>
      <c r="X1017" s="238">
        <f t="shared" si="1092"/>
        <v>0</v>
      </c>
    </row>
    <row r="1018" spans="1:24" s="229" customFormat="1" hidden="1">
      <c r="A1018" s="268" t="s">
        <v>121</v>
      </c>
      <c r="B1018" s="236" t="s">
        <v>402</v>
      </c>
      <c r="C1018" s="236" t="s">
        <v>18</v>
      </c>
      <c r="D1018" s="236" t="s">
        <v>17</v>
      </c>
      <c r="E1018" s="236" t="s">
        <v>3</v>
      </c>
      <c r="F1018" s="236" t="s">
        <v>70</v>
      </c>
      <c r="G1018" s="236" t="s">
        <v>148</v>
      </c>
      <c r="H1018" s="236" t="s">
        <v>271</v>
      </c>
      <c r="I1018" s="277" t="s">
        <v>119</v>
      </c>
      <c r="J1018" s="238"/>
      <c r="K1018" s="238"/>
      <c r="L1018" s="238"/>
      <c r="M1018" s="238"/>
      <c r="N1018" s="238"/>
      <c r="O1018" s="238"/>
      <c r="P1018" s="238">
        <v>1770000</v>
      </c>
      <c r="Q1018" s="238">
        <v>0</v>
      </c>
      <c r="R1018" s="238">
        <v>0</v>
      </c>
      <c r="S1018" s="238">
        <f>-600000-789101.76-25000-22500-21864.34-10000-50000-111.54</f>
        <v>-1518577.6400000001</v>
      </c>
      <c r="T1018" s="238"/>
      <c r="U1018" s="238"/>
      <c r="V1018" s="238">
        <f t="shared" si="1092"/>
        <v>251422.35999999987</v>
      </c>
      <c r="W1018" s="238">
        <f t="shared" si="1092"/>
        <v>0</v>
      </c>
      <c r="X1018" s="238">
        <f t="shared" si="1092"/>
        <v>0</v>
      </c>
    </row>
    <row r="1019" spans="1:24" s="229" customFormat="1" hidden="1">
      <c r="A1019" s="268" t="s">
        <v>458</v>
      </c>
      <c r="B1019" s="236" t="s">
        <v>402</v>
      </c>
      <c r="C1019" s="236" t="s">
        <v>18</v>
      </c>
      <c r="D1019" s="236" t="s">
        <v>17</v>
      </c>
      <c r="E1019" s="236" t="s">
        <v>3</v>
      </c>
      <c r="F1019" s="236" t="s">
        <v>70</v>
      </c>
      <c r="G1019" s="236" t="s">
        <v>148</v>
      </c>
      <c r="H1019" s="236" t="s">
        <v>457</v>
      </c>
      <c r="I1019" s="277"/>
      <c r="J1019" s="238"/>
      <c r="K1019" s="238"/>
      <c r="L1019" s="238"/>
      <c r="M1019" s="238"/>
      <c r="N1019" s="238"/>
      <c r="O1019" s="238"/>
      <c r="P1019" s="238">
        <f>P1020</f>
        <v>0</v>
      </c>
      <c r="Q1019" s="238">
        <f t="shared" ref="Q1019:U1020" si="1096">Q1020</f>
        <v>0</v>
      </c>
      <c r="R1019" s="238">
        <f t="shared" si="1096"/>
        <v>0</v>
      </c>
      <c r="S1019" s="238">
        <f t="shared" si="1096"/>
        <v>600000</v>
      </c>
      <c r="T1019" s="238">
        <f t="shared" si="1096"/>
        <v>0</v>
      </c>
      <c r="U1019" s="238">
        <f t="shared" si="1096"/>
        <v>0</v>
      </c>
      <c r="V1019" s="238">
        <f t="shared" si="1092"/>
        <v>600000</v>
      </c>
      <c r="W1019" s="238">
        <f t="shared" si="1092"/>
        <v>0</v>
      </c>
      <c r="X1019" s="238">
        <f t="shared" si="1092"/>
        <v>0</v>
      </c>
    </row>
    <row r="1020" spans="1:24" s="229" customFormat="1" ht="25.5" hidden="1">
      <c r="A1020" s="240" t="s">
        <v>260</v>
      </c>
      <c r="B1020" s="236" t="s">
        <v>402</v>
      </c>
      <c r="C1020" s="236" t="s">
        <v>18</v>
      </c>
      <c r="D1020" s="236" t="s">
        <v>17</v>
      </c>
      <c r="E1020" s="236" t="s">
        <v>3</v>
      </c>
      <c r="F1020" s="236" t="s">
        <v>70</v>
      </c>
      <c r="G1020" s="236" t="s">
        <v>148</v>
      </c>
      <c r="H1020" s="236" t="s">
        <v>457</v>
      </c>
      <c r="I1020" s="277" t="s">
        <v>94</v>
      </c>
      <c r="J1020" s="238"/>
      <c r="K1020" s="238"/>
      <c r="L1020" s="238"/>
      <c r="M1020" s="238"/>
      <c r="N1020" s="238"/>
      <c r="O1020" s="238"/>
      <c r="P1020" s="238">
        <f>P1021</f>
        <v>0</v>
      </c>
      <c r="Q1020" s="238">
        <f t="shared" si="1096"/>
        <v>0</v>
      </c>
      <c r="R1020" s="238">
        <f t="shared" si="1096"/>
        <v>0</v>
      </c>
      <c r="S1020" s="238">
        <f t="shared" si="1096"/>
        <v>600000</v>
      </c>
      <c r="T1020" s="238">
        <f t="shared" si="1096"/>
        <v>0</v>
      </c>
      <c r="U1020" s="238">
        <f t="shared" si="1096"/>
        <v>0</v>
      </c>
      <c r="V1020" s="238">
        <f t="shared" si="1092"/>
        <v>600000</v>
      </c>
      <c r="W1020" s="238">
        <f t="shared" si="1092"/>
        <v>0</v>
      </c>
      <c r="X1020" s="238">
        <f t="shared" si="1092"/>
        <v>0</v>
      </c>
    </row>
    <row r="1021" spans="1:24" s="229" customFormat="1" ht="25.5" hidden="1">
      <c r="A1021" s="239" t="s">
        <v>98</v>
      </c>
      <c r="B1021" s="236" t="s">
        <v>402</v>
      </c>
      <c r="C1021" s="236" t="s">
        <v>18</v>
      </c>
      <c r="D1021" s="236" t="s">
        <v>17</v>
      </c>
      <c r="E1021" s="236" t="s">
        <v>3</v>
      </c>
      <c r="F1021" s="236" t="s">
        <v>70</v>
      </c>
      <c r="G1021" s="236" t="s">
        <v>148</v>
      </c>
      <c r="H1021" s="236" t="s">
        <v>457</v>
      </c>
      <c r="I1021" s="277" t="s">
        <v>95</v>
      </c>
      <c r="J1021" s="238"/>
      <c r="K1021" s="238"/>
      <c r="L1021" s="238"/>
      <c r="M1021" s="238"/>
      <c r="N1021" s="238"/>
      <c r="O1021" s="238"/>
      <c r="P1021" s="238"/>
      <c r="Q1021" s="238"/>
      <c r="R1021" s="238"/>
      <c r="S1021" s="238">
        <v>600000</v>
      </c>
      <c r="T1021" s="238"/>
      <c r="U1021" s="238"/>
      <c r="V1021" s="238">
        <f t="shared" si="1092"/>
        <v>600000</v>
      </c>
      <c r="W1021" s="238">
        <f t="shared" si="1092"/>
        <v>0</v>
      </c>
      <c r="X1021" s="238">
        <f t="shared" si="1092"/>
        <v>0</v>
      </c>
    </row>
    <row r="1022" spans="1:24" s="229" customFormat="1" ht="38.25" hidden="1">
      <c r="A1022" s="235" t="s">
        <v>289</v>
      </c>
      <c r="B1022" s="236" t="s">
        <v>402</v>
      </c>
      <c r="C1022" s="236" t="s">
        <v>18</v>
      </c>
      <c r="D1022" s="236" t="s">
        <v>17</v>
      </c>
      <c r="E1022" s="236" t="s">
        <v>27</v>
      </c>
      <c r="F1022" s="236" t="s">
        <v>70</v>
      </c>
      <c r="G1022" s="236" t="s">
        <v>148</v>
      </c>
      <c r="H1022" s="236" t="s">
        <v>149</v>
      </c>
      <c r="I1022" s="277"/>
      <c r="J1022" s="238"/>
      <c r="K1022" s="238"/>
      <c r="L1022" s="238"/>
      <c r="M1022" s="238"/>
      <c r="N1022" s="238"/>
      <c r="O1022" s="238"/>
      <c r="P1022" s="238">
        <f>P1023</f>
        <v>500000</v>
      </c>
      <c r="Q1022" s="238">
        <f t="shared" ref="Q1022:U1025" si="1097">Q1023</f>
        <v>0</v>
      </c>
      <c r="R1022" s="238">
        <f t="shared" si="1097"/>
        <v>0</v>
      </c>
      <c r="S1022" s="238">
        <f t="shared" si="1097"/>
        <v>0</v>
      </c>
      <c r="T1022" s="238">
        <f t="shared" si="1097"/>
        <v>0</v>
      </c>
      <c r="U1022" s="238">
        <f t="shared" si="1097"/>
        <v>0</v>
      </c>
      <c r="V1022" s="238">
        <f t="shared" si="1092"/>
        <v>500000</v>
      </c>
      <c r="W1022" s="238">
        <f t="shared" si="1092"/>
        <v>0</v>
      </c>
      <c r="X1022" s="238">
        <f t="shared" si="1092"/>
        <v>0</v>
      </c>
    </row>
    <row r="1023" spans="1:24" s="229" customFormat="1" hidden="1">
      <c r="A1023" s="235" t="s">
        <v>211</v>
      </c>
      <c r="B1023" s="236" t="s">
        <v>402</v>
      </c>
      <c r="C1023" s="236" t="s">
        <v>18</v>
      </c>
      <c r="D1023" s="236" t="s">
        <v>17</v>
      </c>
      <c r="E1023" s="236" t="s">
        <v>27</v>
      </c>
      <c r="F1023" s="236" t="s">
        <v>44</v>
      </c>
      <c r="G1023" s="236" t="s">
        <v>148</v>
      </c>
      <c r="H1023" s="236" t="s">
        <v>149</v>
      </c>
      <c r="I1023" s="277"/>
      <c r="J1023" s="238"/>
      <c r="K1023" s="238"/>
      <c r="L1023" s="238"/>
      <c r="M1023" s="238"/>
      <c r="N1023" s="238"/>
      <c r="O1023" s="238"/>
      <c r="P1023" s="238">
        <f>P1024</f>
        <v>500000</v>
      </c>
      <c r="Q1023" s="238">
        <f t="shared" si="1097"/>
        <v>0</v>
      </c>
      <c r="R1023" s="238">
        <f t="shared" si="1097"/>
        <v>0</v>
      </c>
      <c r="S1023" s="238">
        <f t="shared" si="1097"/>
        <v>0</v>
      </c>
      <c r="T1023" s="238">
        <f t="shared" si="1097"/>
        <v>0</v>
      </c>
      <c r="U1023" s="238">
        <f t="shared" si="1097"/>
        <v>0</v>
      </c>
      <c r="V1023" s="238">
        <f t="shared" si="1092"/>
        <v>500000</v>
      </c>
      <c r="W1023" s="238">
        <f t="shared" si="1092"/>
        <v>0</v>
      </c>
      <c r="X1023" s="238">
        <f t="shared" si="1092"/>
        <v>0</v>
      </c>
    </row>
    <row r="1024" spans="1:24" s="229" customFormat="1" ht="30" hidden="1" customHeight="1">
      <c r="A1024" s="235" t="s">
        <v>212</v>
      </c>
      <c r="B1024" s="236" t="s">
        <v>402</v>
      </c>
      <c r="C1024" s="236" t="s">
        <v>18</v>
      </c>
      <c r="D1024" s="236" t="s">
        <v>17</v>
      </c>
      <c r="E1024" s="236" t="s">
        <v>27</v>
      </c>
      <c r="F1024" s="236" t="s">
        <v>44</v>
      </c>
      <c r="G1024" s="236" t="s">
        <v>148</v>
      </c>
      <c r="H1024" s="236" t="s">
        <v>213</v>
      </c>
      <c r="I1024" s="277"/>
      <c r="J1024" s="238"/>
      <c r="K1024" s="238"/>
      <c r="L1024" s="238"/>
      <c r="M1024" s="238"/>
      <c r="N1024" s="238"/>
      <c r="O1024" s="238"/>
      <c r="P1024" s="238">
        <f>P1025</f>
        <v>500000</v>
      </c>
      <c r="Q1024" s="238">
        <f t="shared" si="1097"/>
        <v>0</v>
      </c>
      <c r="R1024" s="238">
        <f t="shared" si="1097"/>
        <v>0</v>
      </c>
      <c r="S1024" s="238">
        <f t="shared" si="1097"/>
        <v>0</v>
      </c>
      <c r="T1024" s="238">
        <f t="shared" si="1097"/>
        <v>0</v>
      </c>
      <c r="U1024" s="238">
        <f t="shared" si="1097"/>
        <v>0</v>
      </c>
      <c r="V1024" s="238">
        <f t="shared" si="1092"/>
        <v>500000</v>
      </c>
      <c r="W1024" s="238">
        <f t="shared" si="1092"/>
        <v>0</v>
      </c>
      <c r="X1024" s="238">
        <f t="shared" si="1092"/>
        <v>0</v>
      </c>
    </row>
    <row r="1025" spans="1:24" s="229" customFormat="1" ht="25.5" hidden="1">
      <c r="A1025" s="240" t="s">
        <v>260</v>
      </c>
      <c r="B1025" s="236" t="s">
        <v>402</v>
      </c>
      <c r="C1025" s="236" t="s">
        <v>18</v>
      </c>
      <c r="D1025" s="236" t="s">
        <v>17</v>
      </c>
      <c r="E1025" s="236" t="s">
        <v>27</v>
      </c>
      <c r="F1025" s="236" t="s">
        <v>44</v>
      </c>
      <c r="G1025" s="236" t="s">
        <v>148</v>
      </c>
      <c r="H1025" s="236" t="s">
        <v>213</v>
      </c>
      <c r="I1025" s="277" t="s">
        <v>94</v>
      </c>
      <c r="J1025" s="238"/>
      <c r="K1025" s="238"/>
      <c r="L1025" s="238"/>
      <c r="M1025" s="238"/>
      <c r="N1025" s="238"/>
      <c r="O1025" s="238"/>
      <c r="P1025" s="238">
        <f>P1026</f>
        <v>500000</v>
      </c>
      <c r="Q1025" s="238">
        <f t="shared" si="1097"/>
        <v>0</v>
      </c>
      <c r="R1025" s="238">
        <f t="shared" si="1097"/>
        <v>0</v>
      </c>
      <c r="S1025" s="238">
        <f t="shared" si="1097"/>
        <v>0</v>
      </c>
      <c r="T1025" s="238">
        <f t="shared" si="1097"/>
        <v>0</v>
      </c>
      <c r="U1025" s="238">
        <f t="shared" si="1097"/>
        <v>0</v>
      </c>
      <c r="V1025" s="238">
        <f t="shared" si="1092"/>
        <v>500000</v>
      </c>
      <c r="W1025" s="238">
        <f t="shared" si="1092"/>
        <v>0</v>
      </c>
      <c r="X1025" s="238">
        <f t="shared" si="1092"/>
        <v>0</v>
      </c>
    </row>
    <row r="1026" spans="1:24" s="229" customFormat="1" ht="25.5" hidden="1">
      <c r="A1026" s="239" t="s">
        <v>98</v>
      </c>
      <c r="B1026" s="236" t="s">
        <v>402</v>
      </c>
      <c r="C1026" s="236" t="s">
        <v>18</v>
      </c>
      <c r="D1026" s="236" t="s">
        <v>17</v>
      </c>
      <c r="E1026" s="236" t="s">
        <v>27</v>
      </c>
      <c r="F1026" s="236" t="s">
        <v>44</v>
      </c>
      <c r="G1026" s="236" t="s">
        <v>148</v>
      </c>
      <c r="H1026" s="236" t="s">
        <v>213</v>
      </c>
      <c r="I1026" s="277" t="s">
        <v>95</v>
      </c>
      <c r="J1026" s="238"/>
      <c r="K1026" s="238"/>
      <c r="L1026" s="238"/>
      <c r="M1026" s="238"/>
      <c r="N1026" s="238"/>
      <c r="O1026" s="238"/>
      <c r="P1026" s="238">
        <v>500000</v>
      </c>
      <c r="Q1026" s="238">
        <v>0</v>
      </c>
      <c r="R1026" s="238">
        <v>0</v>
      </c>
      <c r="S1026" s="238"/>
      <c r="T1026" s="238"/>
      <c r="U1026" s="238"/>
      <c r="V1026" s="238">
        <f t="shared" si="1092"/>
        <v>500000</v>
      </c>
      <c r="W1026" s="238">
        <f t="shared" si="1092"/>
        <v>0</v>
      </c>
      <c r="X1026" s="238">
        <f t="shared" si="1092"/>
        <v>0</v>
      </c>
    </row>
    <row r="1027" spans="1:24" s="229" customFormat="1" ht="38.25" hidden="1">
      <c r="A1027" s="235" t="s">
        <v>292</v>
      </c>
      <c r="B1027" s="227" t="s">
        <v>402</v>
      </c>
      <c r="C1027" s="227" t="s">
        <v>18</v>
      </c>
      <c r="D1027" s="227" t="s">
        <v>17</v>
      </c>
      <c r="E1027" s="227" t="s">
        <v>357</v>
      </c>
      <c r="F1027" s="227" t="s">
        <v>70</v>
      </c>
      <c r="G1027" s="227" t="s">
        <v>148</v>
      </c>
      <c r="H1027" s="227" t="s">
        <v>149</v>
      </c>
      <c r="I1027" s="237"/>
      <c r="J1027" s="238"/>
      <c r="K1027" s="238"/>
      <c r="L1027" s="238"/>
      <c r="M1027" s="238"/>
      <c r="N1027" s="238"/>
      <c r="O1027" s="238"/>
      <c r="P1027" s="238">
        <f>P1028</f>
        <v>353900</v>
      </c>
      <c r="Q1027" s="238">
        <f t="shared" ref="Q1027:U1029" si="1098">Q1028</f>
        <v>0</v>
      </c>
      <c r="R1027" s="238">
        <f t="shared" si="1098"/>
        <v>0</v>
      </c>
      <c r="S1027" s="238">
        <f t="shared" si="1098"/>
        <v>-264000</v>
      </c>
      <c r="T1027" s="238">
        <f t="shared" si="1098"/>
        <v>0</v>
      </c>
      <c r="U1027" s="238">
        <f t="shared" si="1098"/>
        <v>0</v>
      </c>
      <c r="V1027" s="238">
        <f t="shared" si="1092"/>
        <v>89900</v>
      </c>
      <c r="W1027" s="238">
        <f t="shared" si="1092"/>
        <v>0</v>
      </c>
      <c r="X1027" s="238">
        <f t="shared" si="1092"/>
        <v>0</v>
      </c>
    </row>
    <row r="1028" spans="1:24" s="229" customFormat="1" hidden="1">
      <c r="A1028" s="239" t="s">
        <v>376</v>
      </c>
      <c r="B1028" s="227" t="s">
        <v>402</v>
      </c>
      <c r="C1028" s="227" t="s">
        <v>18</v>
      </c>
      <c r="D1028" s="227" t="s">
        <v>17</v>
      </c>
      <c r="E1028" s="227" t="s">
        <v>357</v>
      </c>
      <c r="F1028" s="227" t="s">
        <v>70</v>
      </c>
      <c r="G1028" s="227" t="s">
        <v>148</v>
      </c>
      <c r="H1028" s="227" t="s">
        <v>225</v>
      </c>
      <c r="I1028" s="237"/>
      <c r="J1028" s="238"/>
      <c r="K1028" s="238"/>
      <c r="L1028" s="238"/>
      <c r="M1028" s="238"/>
      <c r="N1028" s="238"/>
      <c r="O1028" s="238"/>
      <c r="P1028" s="238">
        <f>P1029</f>
        <v>353900</v>
      </c>
      <c r="Q1028" s="238">
        <f t="shared" si="1098"/>
        <v>0</v>
      </c>
      <c r="R1028" s="238">
        <f t="shared" si="1098"/>
        <v>0</v>
      </c>
      <c r="S1028" s="238">
        <f t="shared" si="1098"/>
        <v>-264000</v>
      </c>
      <c r="T1028" s="238">
        <f t="shared" si="1098"/>
        <v>0</v>
      </c>
      <c r="U1028" s="238">
        <f t="shared" si="1098"/>
        <v>0</v>
      </c>
      <c r="V1028" s="238">
        <f t="shared" si="1092"/>
        <v>89900</v>
      </c>
      <c r="W1028" s="238">
        <f t="shared" si="1092"/>
        <v>0</v>
      </c>
      <c r="X1028" s="238">
        <f t="shared" si="1092"/>
        <v>0</v>
      </c>
    </row>
    <row r="1029" spans="1:24" s="229" customFormat="1" ht="25.5" hidden="1">
      <c r="A1029" s="268" t="s">
        <v>120</v>
      </c>
      <c r="B1029" s="227" t="s">
        <v>402</v>
      </c>
      <c r="C1029" s="227" t="s">
        <v>18</v>
      </c>
      <c r="D1029" s="227" t="s">
        <v>17</v>
      </c>
      <c r="E1029" s="227" t="s">
        <v>357</v>
      </c>
      <c r="F1029" s="227" t="s">
        <v>70</v>
      </c>
      <c r="G1029" s="227" t="s">
        <v>148</v>
      </c>
      <c r="H1029" s="227" t="s">
        <v>225</v>
      </c>
      <c r="I1029" s="237" t="s">
        <v>118</v>
      </c>
      <c r="J1029" s="238"/>
      <c r="K1029" s="238"/>
      <c r="L1029" s="238"/>
      <c r="M1029" s="238"/>
      <c r="N1029" s="238"/>
      <c r="O1029" s="238"/>
      <c r="P1029" s="238">
        <f>P1030</f>
        <v>353900</v>
      </c>
      <c r="Q1029" s="238">
        <f t="shared" si="1098"/>
        <v>0</v>
      </c>
      <c r="R1029" s="238">
        <f t="shared" si="1098"/>
        <v>0</v>
      </c>
      <c r="S1029" s="238">
        <f t="shared" si="1098"/>
        <v>-264000</v>
      </c>
      <c r="T1029" s="238">
        <f t="shared" si="1098"/>
        <v>0</v>
      </c>
      <c r="U1029" s="238">
        <f t="shared" si="1098"/>
        <v>0</v>
      </c>
      <c r="V1029" s="238">
        <f t="shared" ref="V1029:X1052" si="1099">P1029+S1029</f>
        <v>89900</v>
      </c>
      <c r="W1029" s="238">
        <f t="shared" si="1099"/>
        <v>0</v>
      </c>
      <c r="X1029" s="238">
        <f t="shared" si="1099"/>
        <v>0</v>
      </c>
    </row>
    <row r="1030" spans="1:24" s="229" customFormat="1" hidden="1">
      <c r="A1030" s="268" t="s">
        <v>121</v>
      </c>
      <c r="B1030" s="227" t="s">
        <v>402</v>
      </c>
      <c r="C1030" s="227" t="s">
        <v>18</v>
      </c>
      <c r="D1030" s="227" t="s">
        <v>17</v>
      </c>
      <c r="E1030" s="227" t="s">
        <v>357</v>
      </c>
      <c r="F1030" s="227" t="s">
        <v>70</v>
      </c>
      <c r="G1030" s="227" t="s">
        <v>148</v>
      </c>
      <c r="H1030" s="227" t="s">
        <v>225</v>
      </c>
      <c r="I1030" s="237" t="s">
        <v>119</v>
      </c>
      <c r="J1030" s="238"/>
      <c r="K1030" s="238"/>
      <c r="L1030" s="238"/>
      <c r="M1030" s="238"/>
      <c r="N1030" s="238"/>
      <c r="O1030" s="238"/>
      <c r="P1030" s="238">
        <v>353900</v>
      </c>
      <c r="Q1030" s="238">
        <v>0</v>
      </c>
      <c r="R1030" s="238">
        <v>0</v>
      </c>
      <c r="S1030" s="238">
        <v>-264000</v>
      </c>
      <c r="T1030" s="238"/>
      <c r="U1030" s="238"/>
      <c r="V1030" s="238">
        <f t="shared" si="1099"/>
        <v>89900</v>
      </c>
      <c r="W1030" s="238">
        <f t="shared" si="1099"/>
        <v>0</v>
      </c>
      <c r="X1030" s="238">
        <f t="shared" si="1099"/>
        <v>0</v>
      </c>
    </row>
    <row r="1031" spans="1:24" s="229" customFormat="1" hidden="1">
      <c r="A1031" s="235" t="s">
        <v>83</v>
      </c>
      <c r="B1031" s="227" t="s">
        <v>402</v>
      </c>
      <c r="C1031" s="227" t="s">
        <v>18</v>
      </c>
      <c r="D1031" s="227" t="s">
        <v>17</v>
      </c>
      <c r="E1031" s="227" t="s">
        <v>82</v>
      </c>
      <c r="F1031" s="227" t="s">
        <v>70</v>
      </c>
      <c r="G1031" s="227" t="s">
        <v>148</v>
      </c>
      <c r="H1031" s="227" t="s">
        <v>149</v>
      </c>
      <c r="I1031" s="237"/>
      <c r="J1031" s="238"/>
      <c r="K1031" s="238"/>
      <c r="L1031" s="238"/>
      <c r="M1031" s="238"/>
      <c r="N1031" s="238"/>
      <c r="O1031" s="238"/>
      <c r="P1031" s="238">
        <f>P1032+P1035</f>
        <v>6207018</v>
      </c>
      <c r="Q1031" s="238">
        <f t="shared" ref="Q1031:U1031" si="1100">Q1032+Q1035</f>
        <v>6385726.8499999996</v>
      </c>
      <c r="R1031" s="238">
        <f t="shared" si="1100"/>
        <v>6570874.6799999997</v>
      </c>
      <c r="S1031" s="238">
        <f t="shared" si="1100"/>
        <v>0</v>
      </c>
      <c r="T1031" s="238">
        <f t="shared" si="1100"/>
        <v>0</v>
      </c>
      <c r="U1031" s="238">
        <f t="shared" si="1100"/>
        <v>0</v>
      </c>
      <c r="V1031" s="238">
        <f t="shared" si="1099"/>
        <v>6207018</v>
      </c>
      <c r="W1031" s="238">
        <f t="shared" si="1099"/>
        <v>6385726.8499999996</v>
      </c>
      <c r="X1031" s="238">
        <f t="shared" si="1099"/>
        <v>6570874.6799999997</v>
      </c>
    </row>
    <row r="1032" spans="1:24" s="229" customFormat="1" hidden="1">
      <c r="A1032" s="235" t="s">
        <v>346</v>
      </c>
      <c r="B1032" s="227" t="s">
        <v>402</v>
      </c>
      <c r="C1032" s="227" t="s">
        <v>18</v>
      </c>
      <c r="D1032" s="227" t="s">
        <v>17</v>
      </c>
      <c r="E1032" s="227" t="s">
        <v>82</v>
      </c>
      <c r="F1032" s="227" t="s">
        <v>70</v>
      </c>
      <c r="G1032" s="227" t="s">
        <v>148</v>
      </c>
      <c r="H1032" s="227" t="s">
        <v>345</v>
      </c>
      <c r="I1032" s="237"/>
      <c r="J1032" s="238"/>
      <c r="K1032" s="238"/>
      <c r="L1032" s="238"/>
      <c r="M1032" s="238"/>
      <c r="N1032" s="238"/>
      <c r="O1032" s="238"/>
      <c r="P1032" s="238">
        <f>P1033</f>
        <v>5524518</v>
      </c>
      <c r="Q1032" s="238">
        <f t="shared" ref="Q1032:U1033" si="1101">Q1033</f>
        <v>5675926.8499999996</v>
      </c>
      <c r="R1032" s="238">
        <f t="shared" si="1101"/>
        <v>5832682.6799999997</v>
      </c>
      <c r="S1032" s="238">
        <f t="shared" si="1101"/>
        <v>0</v>
      </c>
      <c r="T1032" s="238">
        <f t="shared" si="1101"/>
        <v>0</v>
      </c>
      <c r="U1032" s="238">
        <f t="shared" si="1101"/>
        <v>0</v>
      </c>
      <c r="V1032" s="238">
        <f t="shared" si="1099"/>
        <v>5524518</v>
      </c>
      <c r="W1032" s="238">
        <f t="shared" si="1099"/>
        <v>5675926.8499999996</v>
      </c>
      <c r="X1032" s="238">
        <f t="shared" si="1099"/>
        <v>5832682.6799999997</v>
      </c>
    </row>
    <row r="1033" spans="1:24" s="229" customFormat="1" ht="25.5" hidden="1">
      <c r="A1033" s="268" t="s">
        <v>72</v>
      </c>
      <c r="B1033" s="227" t="s">
        <v>402</v>
      </c>
      <c r="C1033" s="227" t="s">
        <v>18</v>
      </c>
      <c r="D1033" s="227" t="s">
        <v>17</v>
      </c>
      <c r="E1033" s="227" t="s">
        <v>82</v>
      </c>
      <c r="F1033" s="227" t="s">
        <v>70</v>
      </c>
      <c r="G1033" s="227" t="s">
        <v>148</v>
      </c>
      <c r="H1033" s="227" t="s">
        <v>345</v>
      </c>
      <c r="I1033" s="237" t="s">
        <v>71</v>
      </c>
      <c r="J1033" s="238"/>
      <c r="K1033" s="238"/>
      <c r="L1033" s="238"/>
      <c r="M1033" s="238"/>
      <c r="N1033" s="238"/>
      <c r="O1033" s="238"/>
      <c r="P1033" s="238">
        <f>P1034</f>
        <v>5524518</v>
      </c>
      <c r="Q1033" s="238">
        <f t="shared" si="1101"/>
        <v>5675926.8499999996</v>
      </c>
      <c r="R1033" s="238">
        <f t="shared" si="1101"/>
        <v>5832682.6799999997</v>
      </c>
      <c r="S1033" s="238">
        <f t="shared" si="1101"/>
        <v>0</v>
      </c>
      <c r="T1033" s="238">
        <f t="shared" si="1101"/>
        <v>0</v>
      </c>
      <c r="U1033" s="238">
        <f t="shared" si="1101"/>
        <v>0</v>
      </c>
      <c r="V1033" s="238">
        <f t="shared" si="1099"/>
        <v>5524518</v>
      </c>
      <c r="W1033" s="238">
        <f t="shared" si="1099"/>
        <v>5675926.8499999996</v>
      </c>
      <c r="X1033" s="238">
        <f t="shared" si="1099"/>
        <v>5832682.6799999997</v>
      </c>
    </row>
    <row r="1034" spans="1:24" s="229" customFormat="1" hidden="1">
      <c r="A1034" s="235" t="s">
        <v>249</v>
      </c>
      <c r="B1034" s="227" t="s">
        <v>402</v>
      </c>
      <c r="C1034" s="227" t="s">
        <v>18</v>
      </c>
      <c r="D1034" s="227" t="s">
        <v>17</v>
      </c>
      <c r="E1034" s="227" t="s">
        <v>82</v>
      </c>
      <c r="F1034" s="227" t="s">
        <v>70</v>
      </c>
      <c r="G1034" s="227" t="s">
        <v>148</v>
      </c>
      <c r="H1034" s="227" t="s">
        <v>345</v>
      </c>
      <c r="I1034" s="237" t="s">
        <v>246</v>
      </c>
      <c r="J1034" s="238"/>
      <c r="K1034" s="238"/>
      <c r="L1034" s="238"/>
      <c r="M1034" s="238"/>
      <c r="N1034" s="238"/>
      <c r="O1034" s="238"/>
      <c r="P1034" s="238">
        <v>5524518</v>
      </c>
      <c r="Q1034" s="238">
        <v>5675926.8499999996</v>
      </c>
      <c r="R1034" s="238">
        <v>5832682.6799999997</v>
      </c>
      <c r="S1034" s="238"/>
      <c r="T1034" s="238"/>
      <c r="U1034" s="238"/>
      <c r="V1034" s="238">
        <f t="shared" si="1099"/>
        <v>5524518</v>
      </c>
      <c r="W1034" s="238">
        <f t="shared" si="1099"/>
        <v>5675926.8499999996</v>
      </c>
      <c r="X1034" s="238">
        <f t="shared" si="1099"/>
        <v>5832682.6799999997</v>
      </c>
    </row>
    <row r="1035" spans="1:24" s="229" customFormat="1" hidden="1">
      <c r="A1035" s="268" t="s">
        <v>359</v>
      </c>
      <c r="B1035" s="227" t="s">
        <v>402</v>
      </c>
      <c r="C1035" s="227" t="s">
        <v>18</v>
      </c>
      <c r="D1035" s="227" t="s">
        <v>17</v>
      </c>
      <c r="E1035" s="227" t="s">
        <v>82</v>
      </c>
      <c r="F1035" s="227" t="s">
        <v>70</v>
      </c>
      <c r="G1035" s="227" t="s">
        <v>148</v>
      </c>
      <c r="H1035" s="227" t="s">
        <v>358</v>
      </c>
      <c r="I1035" s="237"/>
      <c r="J1035" s="238"/>
      <c r="K1035" s="238"/>
      <c r="L1035" s="238"/>
      <c r="M1035" s="238"/>
      <c r="N1035" s="238"/>
      <c r="O1035" s="238"/>
      <c r="P1035" s="238">
        <f>P1036</f>
        <v>682500</v>
      </c>
      <c r="Q1035" s="238">
        <f t="shared" ref="Q1035:U1036" si="1102">Q1036</f>
        <v>709800</v>
      </c>
      <c r="R1035" s="238">
        <f t="shared" si="1102"/>
        <v>738192</v>
      </c>
      <c r="S1035" s="238">
        <f t="shared" si="1102"/>
        <v>0</v>
      </c>
      <c r="T1035" s="238">
        <f t="shared" si="1102"/>
        <v>0</v>
      </c>
      <c r="U1035" s="238">
        <f t="shared" si="1102"/>
        <v>0</v>
      </c>
      <c r="V1035" s="238">
        <f t="shared" si="1099"/>
        <v>682500</v>
      </c>
      <c r="W1035" s="238">
        <f t="shared" si="1099"/>
        <v>709800</v>
      </c>
      <c r="X1035" s="238">
        <f t="shared" si="1099"/>
        <v>738192</v>
      </c>
    </row>
    <row r="1036" spans="1:24" s="229" customFormat="1" ht="25.5" hidden="1">
      <c r="A1036" s="240" t="s">
        <v>260</v>
      </c>
      <c r="B1036" s="227" t="s">
        <v>402</v>
      </c>
      <c r="C1036" s="227" t="s">
        <v>18</v>
      </c>
      <c r="D1036" s="227" t="s">
        <v>17</v>
      </c>
      <c r="E1036" s="227" t="s">
        <v>82</v>
      </c>
      <c r="F1036" s="227" t="s">
        <v>70</v>
      </c>
      <c r="G1036" s="227" t="s">
        <v>148</v>
      </c>
      <c r="H1036" s="227" t="s">
        <v>358</v>
      </c>
      <c r="I1036" s="237" t="s">
        <v>94</v>
      </c>
      <c r="J1036" s="238"/>
      <c r="K1036" s="238"/>
      <c r="L1036" s="238"/>
      <c r="M1036" s="238"/>
      <c r="N1036" s="238"/>
      <c r="O1036" s="238"/>
      <c r="P1036" s="238">
        <f>P1037</f>
        <v>682500</v>
      </c>
      <c r="Q1036" s="238">
        <f t="shared" si="1102"/>
        <v>709800</v>
      </c>
      <c r="R1036" s="238">
        <f t="shared" si="1102"/>
        <v>738192</v>
      </c>
      <c r="S1036" s="238">
        <f t="shared" si="1102"/>
        <v>0</v>
      </c>
      <c r="T1036" s="238">
        <f t="shared" si="1102"/>
        <v>0</v>
      </c>
      <c r="U1036" s="238">
        <f t="shared" si="1102"/>
        <v>0</v>
      </c>
      <c r="V1036" s="238">
        <f t="shared" si="1099"/>
        <v>682500</v>
      </c>
      <c r="W1036" s="238">
        <f t="shared" si="1099"/>
        <v>709800</v>
      </c>
      <c r="X1036" s="238">
        <f t="shared" si="1099"/>
        <v>738192</v>
      </c>
    </row>
    <row r="1037" spans="1:24" s="229" customFormat="1" ht="25.5" hidden="1">
      <c r="A1037" s="239" t="s">
        <v>98</v>
      </c>
      <c r="B1037" s="227" t="s">
        <v>402</v>
      </c>
      <c r="C1037" s="227" t="s">
        <v>18</v>
      </c>
      <c r="D1037" s="227" t="s">
        <v>17</v>
      </c>
      <c r="E1037" s="227" t="s">
        <v>82</v>
      </c>
      <c r="F1037" s="227" t="s">
        <v>70</v>
      </c>
      <c r="G1037" s="227" t="s">
        <v>148</v>
      </c>
      <c r="H1037" s="227" t="s">
        <v>358</v>
      </c>
      <c r="I1037" s="237" t="s">
        <v>95</v>
      </c>
      <c r="J1037" s="238"/>
      <c r="K1037" s="238"/>
      <c r="L1037" s="238"/>
      <c r="M1037" s="238"/>
      <c r="N1037" s="238"/>
      <c r="O1037" s="238"/>
      <c r="P1037" s="238">
        <v>682500</v>
      </c>
      <c r="Q1037" s="238">
        <v>709800</v>
      </c>
      <c r="R1037" s="238">
        <v>738192</v>
      </c>
      <c r="S1037" s="238"/>
      <c r="T1037" s="238"/>
      <c r="U1037" s="238"/>
      <c r="V1037" s="238">
        <f t="shared" si="1099"/>
        <v>682500</v>
      </c>
      <c r="W1037" s="238">
        <f t="shared" si="1099"/>
        <v>709800</v>
      </c>
      <c r="X1037" s="238">
        <f t="shared" si="1099"/>
        <v>738192</v>
      </c>
    </row>
    <row r="1038" spans="1:24" s="255" customFormat="1" hidden="1">
      <c r="A1038" s="278" t="s">
        <v>68</v>
      </c>
      <c r="B1038" s="231" t="s">
        <v>402</v>
      </c>
      <c r="C1038" s="231" t="s">
        <v>18</v>
      </c>
      <c r="D1038" s="231" t="s">
        <v>13</v>
      </c>
      <c r="E1038" s="231"/>
      <c r="F1038" s="231"/>
      <c r="G1038" s="231"/>
      <c r="H1038" s="231"/>
      <c r="I1038" s="242"/>
      <c r="J1038" s="234"/>
      <c r="K1038" s="234"/>
      <c r="L1038" s="234"/>
      <c r="M1038" s="234"/>
      <c r="N1038" s="234"/>
      <c r="O1038" s="234"/>
      <c r="P1038" s="234">
        <f>P1039+P1052</f>
        <v>5161158.0299999993</v>
      </c>
      <c r="Q1038" s="234">
        <f t="shared" ref="Q1038:U1038" si="1103">Q1039+Q1052</f>
        <v>3291078.16</v>
      </c>
      <c r="R1038" s="234">
        <f t="shared" si="1103"/>
        <v>1070189.1200000001</v>
      </c>
      <c r="S1038" s="234">
        <f t="shared" si="1103"/>
        <v>531327.19000000006</v>
      </c>
      <c r="T1038" s="234">
        <f t="shared" si="1103"/>
        <v>0</v>
      </c>
      <c r="U1038" s="234">
        <f t="shared" si="1103"/>
        <v>0</v>
      </c>
      <c r="V1038" s="234">
        <f t="shared" si="1099"/>
        <v>5692485.2199999997</v>
      </c>
      <c r="W1038" s="234">
        <f t="shared" si="1099"/>
        <v>3291078.16</v>
      </c>
      <c r="X1038" s="234">
        <f t="shared" si="1099"/>
        <v>1070189.1200000001</v>
      </c>
    </row>
    <row r="1039" spans="1:24" s="229" customFormat="1" ht="38.25" hidden="1">
      <c r="A1039" s="239" t="s">
        <v>365</v>
      </c>
      <c r="B1039" s="227" t="s">
        <v>402</v>
      </c>
      <c r="C1039" s="227" t="s">
        <v>18</v>
      </c>
      <c r="D1039" s="227" t="s">
        <v>13</v>
      </c>
      <c r="E1039" s="227" t="s">
        <v>363</v>
      </c>
      <c r="F1039" s="227" t="s">
        <v>70</v>
      </c>
      <c r="G1039" s="227" t="s">
        <v>148</v>
      </c>
      <c r="H1039" s="227" t="s">
        <v>149</v>
      </c>
      <c r="I1039" s="237"/>
      <c r="J1039" s="238"/>
      <c r="K1039" s="238"/>
      <c r="L1039" s="238"/>
      <c r="M1039" s="238"/>
      <c r="N1039" s="238"/>
      <c r="O1039" s="238"/>
      <c r="P1039" s="238">
        <f>P1040+P1043+P1046+P1049</f>
        <v>3021456.27</v>
      </c>
      <c r="Q1039" s="238">
        <f t="shared" ref="Q1039:U1039" si="1104">Q1040+Q1043+Q1046+Q1049</f>
        <v>2480969.13</v>
      </c>
      <c r="R1039" s="238">
        <f t="shared" si="1104"/>
        <v>252499</v>
      </c>
      <c r="S1039" s="238">
        <f t="shared" si="1104"/>
        <v>471215.65</v>
      </c>
      <c r="T1039" s="238">
        <f t="shared" si="1104"/>
        <v>0</v>
      </c>
      <c r="U1039" s="238">
        <f t="shared" si="1104"/>
        <v>0</v>
      </c>
      <c r="V1039" s="238">
        <f t="shared" si="1099"/>
        <v>3492671.92</v>
      </c>
      <c r="W1039" s="238">
        <f t="shared" si="1099"/>
        <v>2480969.13</v>
      </c>
      <c r="X1039" s="238">
        <f t="shared" si="1099"/>
        <v>252499</v>
      </c>
    </row>
    <row r="1040" spans="1:24" s="229" customFormat="1" hidden="1">
      <c r="A1040" s="239" t="s">
        <v>367</v>
      </c>
      <c r="B1040" s="227" t="s">
        <v>402</v>
      </c>
      <c r="C1040" s="227" t="s">
        <v>18</v>
      </c>
      <c r="D1040" s="227" t="s">
        <v>13</v>
      </c>
      <c r="E1040" s="227" t="s">
        <v>363</v>
      </c>
      <c r="F1040" s="227" t="s">
        <v>70</v>
      </c>
      <c r="G1040" s="227" t="s">
        <v>148</v>
      </c>
      <c r="H1040" s="227" t="s">
        <v>360</v>
      </c>
      <c r="I1040" s="237"/>
      <c r="J1040" s="238"/>
      <c r="K1040" s="238"/>
      <c r="L1040" s="238"/>
      <c r="M1040" s="238"/>
      <c r="N1040" s="238"/>
      <c r="O1040" s="238"/>
      <c r="P1040" s="238">
        <f>P1041</f>
        <v>1769940.4</v>
      </c>
      <c r="Q1040" s="238">
        <f t="shared" ref="Q1040:U1041" si="1105">Q1041</f>
        <v>0</v>
      </c>
      <c r="R1040" s="238">
        <f t="shared" si="1105"/>
        <v>0</v>
      </c>
      <c r="S1040" s="238">
        <f t="shared" si="1105"/>
        <v>-132906.98000000001</v>
      </c>
      <c r="T1040" s="238">
        <f t="shared" si="1105"/>
        <v>0</v>
      </c>
      <c r="U1040" s="238">
        <f t="shared" si="1105"/>
        <v>0</v>
      </c>
      <c r="V1040" s="238">
        <f t="shared" si="1099"/>
        <v>1637033.42</v>
      </c>
      <c r="W1040" s="238">
        <f t="shared" si="1099"/>
        <v>0</v>
      </c>
      <c r="X1040" s="238">
        <f t="shared" si="1099"/>
        <v>0</v>
      </c>
    </row>
    <row r="1041" spans="1:24" s="229" customFormat="1" ht="25.5" hidden="1">
      <c r="A1041" s="240" t="s">
        <v>260</v>
      </c>
      <c r="B1041" s="227" t="s">
        <v>402</v>
      </c>
      <c r="C1041" s="227" t="s">
        <v>18</v>
      </c>
      <c r="D1041" s="227" t="s">
        <v>13</v>
      </c>
      <c r="E1041" s="227" t="s">
        <v>363</v>
      </c>
      <c r="F1041" s="227" t="s">
        <v>70</v>
      </c>
      <c r="G1041" s="227" t="s">
        <v>148</v>
      </c>
      <c r="H1041" s="227" t="s">
        <v>360</v>
      </c>
      <c r="I1041" s="237" t="s">
        <v>94</v>
      </c>
      <c r="J1041" s="238"/>
      <c r="K1041" s="238"/>
      <c r="L1041" s="238"/>
      <c r="M1041" s="238"/>
      <c r="N1041" s="238"/>
      <c r="O1041" s="238"/>
      <c r="P1041" s="238">
        <f>P1042</f>
        <v>1769940.4</v>
      </c>
      <c r="Q1041" s="238">
        <f t="shared" si="1105"/>
        <v>0</v>
      </c>
      <c r="R1041" s="238">
        <f t="shared" si="1105"/>
        <v>0</v>
      </c>
      <c r="S1041" s="238">
        <f t="shared" si="1105"/>
        <v>-132906.98000000001</v>
      </c>
      <c r="T1041" s="238">
        <f t="shared" si="1105"/>
        <v>0</v>
      </c>
      <c r="U1041" s="238">
        <f t="shared" si="1105"/>
        <v>0</v>
      </c>
      <c r="V1041" s="238">
        <f t="shared" si="1099"/>
        <v>1637033.42</v>
      </c>
      <c r="W1041" s="238">
        <f t="shared" si="1099"/>
        <v>0</v>
      </c>
      <c r="X1041" s="238">
        <f t="shared" si="1099"/>
        <v>0</v>
      </c>
    </row>
    <row r="1042" spans="1:24" s="229" customFormat="1" ht="25.5" hidden="1">
      <c r="A1042" s="239" t="s">
        <v>98</v>
      </c>
      <c r="B1042" s="227" t="s">
        <v>402</v>
      </c>
      <c r="C1042" s="227" t="s">
        <v>18</v>
      </c>
      <c r="D1042" s="227" t="s">
        <v>13</v>
      </c>
      <c r="E1042" s="227" t="s">
        <v>363</v>
      </c>
      <c r="F1042" s="227" t="s">
        <v>70</v>
      </c>
      <c r="G1042" s="227" t="s">
        <v>148</v>
      </c>
      <c r="H1042" s="227" t="s">
        <v>360</v>
      </c>
      <c r="I1042" s="237" t="s">
        <v>95</v>
      </c>
      <c r="J1042" s="238"/>
      <c r="K1042" s="238"/>
      <c r="L1042" s="238"/>
      <c r="M1042" s="238"/>
      <c r="N1042" s="238"/>
      <c r="O1042" s="238"/>
      <c r="P1042" s="238">
        <v>1769940.4</v>
      </c>
      <c r="Q1042" s="238">
        <v>0</v>
      </c>
      <c r="R1042" s="238">
        <v>0</v>
      </c>
      <c r="S1042" s="238">
        <v>-132906.98000000001</v>
      </c>
      <c r="T1042" s="238"/>
      <c r="U1042" s="238"/>
      <c r="V1042" s="238">
        <f t="shared" si="1099"/>
        <v>1637033.42</v>
      </c>
      <c r="W1042" s="238">
        <f t="shared" si="1099"/>
        <v>0</v>
      </c>
      <c r="X1042" s="238">
        <f t="shared" si="1099"/>
        <v>0</v>
      </c>
    </row>
    <row r="1043" spans="1:24" s="229" customFormat="1" ht="25.5" hidden="1">
      <c r="A1043" s="239" t="s">
        <v>366</v>
      </c>
      <c r="B1043" s="227" t="s">
        <v>402</v>
      </c>
      <c r="C1043" s="227" t="s">
        <v>18</v>
      </c>
      <c r="D1043" s="227" t="s">
        <v>13</v>
      </c>
      <c r="E1043" s="227" t="s">
        <v>363</v>
      </c>
      <c r="F1043" s="227" t="s">
        <v>70</v>
      </c>
      <c r="G1043" s="227" t="s">
        <v>148</v>
      </c>
      <c r="H1043" s="227" t="s">
        <v>364</v>
      </c>
      <c r="I1043" s="237"/>
      <c r="J1043" s="238"/>
      <c r="K1043" s="238"/>
      <c r="L1043" s="238"/>
      <c r="M1043" s="238"/>
      <c r="N1043" s="238"/>
      <c r="O1043" s="238"/>
      <c r="P1043" s="238">
        <f>P1044</f>
        <v>0</v>
      </c>
      <c r="Q1043" s="238">
        <f t="shared" ref="Q1043:U1044" si="1106">Q1044</f>
        <v>0</v>
      </c>
      <c r="R1043" s="238">
        <f t="shared" si="1106"/>
        <v>0</v>
      </c>
      <c r="S1043" s="238">
        <f t="shared" si="1106"/>
        <v>0</v>
      </c>
      <c r="T1043" s="238">
        <f t="shared" si="1106"/>
        <v>0</v>
      </c>
      <c r="U1043" s="238">
        <f t="shared" si="1106"/>
        <v>0</v>
      </c>
      <c r="V1043" s="238">
        <f t="shared" si="1099"/>
        <v>0</v>
      </c>
      <c r="W1043" s="238">
        <f t="shared" si="1099"/>
        <v>0</v>
      </c>
      <c r="X1043" s="238">
        <f t="shared" si="1099"/>
        <v>0</v>
      </c>
    </row>
    <row r="1044" spans="1:24" s="229" customFormat="1" ht="25.5" hidden="1">
      <c r="A1044" s="240" t="s">
        <v>260</v>
      </c>
      <c r="B1044" s="227" t="s">
        <v>402</v>
      </c>
      <c r="C1044" s="227" t="s">
        <v>18</v>
      </c>
      <c r="D1044" s="227" t="s">
        <v>13</v>
      </c>
      <c r="E1044" s="227" t="s">
        <v>363</v>
      </c>
      <c r="F1044" s="227" t="s">
        <v>70</v>
      </c>
      <c r="G1044" s="227" t="s">
        <v>148</v>
      </c>
      <c r="H1044" s="227" t="s">
        <v>364</v>
      </c>
      <c r="I1044" s="237" t="s">
        <v>94</v>
      </c>
      <c r="J1044" s="238"/>
      <c r="K1044" s="238"/>
      <c r="L1044" s="238"/>
      <c r="M1044" s="238"/>
      <c r="N1044" s="238"/>
      <c r="O1044" s="238"/>
      <c r="P1044" s="238">
        <f>P1045</f>
        <v>0</v>
      </c>
      <c r="Q1044" s="238">
        <f t="shared" si="1106"/>
        <v>0</v>
      </c>
      <c r="R1044" s="238">
        <f t="shared" si="1106"/>
        <v>0</v>
      </c>
      <c r="S1044" s="238">
        <f t="shared" si="1106"/>
        <v>0</v>
      </c>
      <c r="T1044" s="238">
        <f t="shared" si="1106"/>
        <v>0</v>
      </c>
      <c r="U1044" s="238">
        <f t="shared" si="1106"/>
        <v>0</v>
      </c>
      <c r="V1044" s="238">
        <f t="shared" si="1099"/>
        <v>0</v>
      </c>
      <c r="W1044" s="238">
        <f t="shared" si="1099"/>
        <v>0</v>
      </c>
      <c r="X1044" s="238">
        <f t="shared" si="1099"/>
        <v>0</v>
      </c>
    </row>
    <row r="1045" spans="1:24" s="229" customFormat="1" ht="25.5" hidden="1">
      <c r="A1045" s="239" t="s">
        <v>98</v>
      </c>
      <c r="B1045" s="227" t="s">
        <v>402</v>
      </c>
      <c r="C1045" s="227" t="s">
        <v>18</v>
      </c>
      <c r="D1045" s="227" t="s">
        <v>13</v>
      </c>
      <c r="E1045" s="227" t="s">
        <v>363</v>
      </c>
      <c r="F1045" s="227" t="s">
        <v>70</v>
      </c>
      <c r="G1045" s="227" t="s">
        <v>148</v>
      </c>
      <c r="H1045" s="227" t="s">
        <v>364</v>
      </c>
      <c r="I1045" s="237" t="s">
        <v>95</v>
      </c>
      <c r="J1045" s="238"/>
      <c r="K1045" s="238"/>
      <c r="L1045" s="238"/>
      <c r="M1045" s="238"/>
      <c r="N1045" s="238"/>
      <c r="O1045" s="238"/>
      <c r="P1045" s="238">
        <v>0</v>
      </c>
      <c r="Q1045" s="238">
        <v>0</v>
      </c>
      <c r="R1045" s="238">
        <v>0</v>
      </c>
      <c r="S1045" s="238"/>
      <c r="T1045" s="238"/>
      <c r="U1045" s="238"/>
      <c r="V1045" s="238">
        <f t="shared" si="1099"/>
        <v>0</v>
      </c>
      <c r="W1045" s="238">
        <f t="shared" si="1099"/>
        <v>0</v>
      </c>
      <c r="X1045" s="238">
        <f t="shared" si="1099"/>
        <v>0</v>
      </c>
    </row>
    <row r="1046" spans="1:24" s="229" customFormat="1" ht="38.25" hidden="1">
      <c r="A1046" s="239" t="s">
        <v>447</v>
      </c>
      <c r="B1046" s="227" t="s">
        <v>402</v>
      </c>
      <c r="C1046" s="227" t="s">
        <v>18</v>
      </c>
      <c r="D1046" s="227" t="s">
        <v>13</v>
      </c>
      <c r="E1046" s="227" t="s">
        <v>363</v>
      </c>
      <c r="F1046" s="227" t="s">
        <v>70</v>
      </c>
      <c r="G1046" s="227" t="s">
        <v>148</v>
      </c>
      <c r="H1046" s="227" t="s">
        <v>446</v>
      </c>
      <c r="I1046" s="237"/>
      <c r="J1046" s="238"/>
      <c r="K1046" s="238"/>
      <c r="L1046" s="238"/>
      <c r="M1046" s="238"/>
      <c r="N1046" s="238"/>
      <c r="O1046" s="238"/>
      <c r="P1046" s="238">
        <f>P1047</f>
        <v>0</v>
      </c>
      <c r="Q1046" s="238">
        <f t="shared" ref="Q1046:U1047" si="1107">Q1047</f>
        <v>0</v>
      </c>
      <c r="R1046" s="238">
        <f t="shared" si="1107"/>
        <v>0</v>
      </c>
      <c r="S1046" s="238">
        <f t="shared" si="1107"/>
        <v>604122.63</v>
      </c>
      <c r="T1046" s="238">
        <f t="shared" si="1107"/>
        <v>0</v>
      </c>
      <c r="U1046" s="238">
        <f t="shared" si="1107"/>
        <v>0</v>
      </c>
      <c r="V1046" s="238">
        <f t="shared" si="1099"/>
        <v>604122.63</v>
      </c>
      <c r="W1046" s="238">
        <f t="shared" si="1099"/>
        <v>0</v>
      </c>
      <c r="X1046" s="238">
        <f t="shared" si="1099"/>
        <v>0</v>
      </c>
    </row>
    <row r="1047" spans="1:24" s="229" customFormat="1" ht="25.5" hidden="1">
      <c r="A1047" s="240" t="s">
        <v>260</v>
      </c>
      <c r="B1047" s="227" t="s">
        <v>402</v>
      </c>
      <c r="C1047" s="227" t="s">
        <v>18</v>
      </c>
      <c r="D1047" s="227" t="s">
        <v>13</v>
      </c>
      <c r="E1047" s="227" t="s">
        <v>363</v>
      </c>
      <c r="F1047" s="227" t="s">
        <v>70</v>
      </c>
      <c r="G1047" s="227" t="s">
        <v>148</v>
      </c>
      <c r="H1047" s="227" t="s">
        <v>446</v>
      </c>
      <c r="I1047" s="237" t="s">
        <v>94</v>
      </c>
      <c r="J1047" s="238"/>
      <c r="K1047" s="238"/>
      <c r="L1047" s="238"/>
      <c r="M1047" s="238"/>
      <c r="N1047" s="238"/>
      <c r="O1047" s="238"/>
      <c r="P1047" s="238">
        <f>P1048</f>
        <v>0</v>
      </c>
      <c r="Q1047" s="238">
        <f t="shared" si="1107"/>
        <v>0</v>
      </c>
      <c r="R1047" s="238">
        <f t="shared" si="1107"/>
        <v>0</v>
      </c>
      <c r="S1047" s="238">
        <f t="shared" si="1107"/>
        <v>604122.63</v>
      </c>
      <c r="T1047" s="238">
        <f t="shared" si="1107"/>
        <v>0</v>
      </c>
      <c r="U1047" s="238">
        <f t="shared" si="1107"/>
        <v>0</v>
      </c>
      <c r="V1047" s="238">
        <f t="shared" si="1099"/>
        <v>604122.63</v>
      </c>
      <c r="W1047" s="238">
        <f t="shared" si="1099"/>
        <v>0</v>
      </c>
      <c r="X1047" s="238">
        <f t="shared" si="1099"/>
        <v>0</v>
      </c>
    </row>
    <row r="1048" spans="1:24" s="229" customFormat="1" ht="25.5" hidden="1">
      <c r="A1048" s="239" t="s">
        <v>98</v>
      </c>
      <c r="B1048" s="227" t="s">
        <v>402</v>
      </c>
      <c r="C1048" s="227" t="s">
        <v>18</v>
      </c>
      <c r="D1048" s="227" t="s">
        <v>13</v>
      </c>
      <c r="E1048" s="227" t="s">
        <v>363</v>
      </c>
      <c r="F1048" s="227" t="s">
        <v>70</v>
      </c>
      <c r="G1048" s="227" t="s">
        <v>148</v>
      </c>
      <c r="H1048" s="227" t="s">
        <v>446</v>
      </c>
      <c r="I1048" s="237" t="s">
        <v>95</v>
      </c>
      <c r="J1048" s="238"/>
      <c r="K1048" s="238"/>
      <c r="L1048" s="238"/>
      <c r="M1048" s="238"/>
      <c r="N1048" s="238"/>
      <c r="O1048" s="238"/>
      <c r="P1048" s="238"/>
      <c r="Q1048" s="238"/>
      <c r="R1048" s="238"/>
      <c r="S1048" s="238">
        <f>471215.65+132906.98</f>
        <v>604122.63</v>
      </c>
      <c r="T1048" s="238"/>
      <c r="U1048" s="238"/>
      <c r="V1048" s="238">
        <f t="shared" si="1099"/>
        <v>604122.63</v>
      </c>
      <c r="W1048" s="238">
        <f t="shared" si="1099"/>
        <v>0</v>
      </c>
      <c r="X1048" s="238">
        <f t="shared" si="1099"/>
        <v>0</v>
      </c>
    </row>
    <row r="1049" spans="1:24" s="229" customFormat="1" hidden="1">
      <c r="A1049" s="239" t="s">
        <v>431</v>
      </c>
      <c r="B1049" s="227" t="s">
        <v>402</v>
      </c>
      <c r="C1049" s="227" t="s">
        <v>18</v>
      </c>
      <c r="D1049" s="227" t="s">
        <v>13</v>
      </c>
      <c r="E1049" s="227" t="s">
        <v>363</v>
      </c>
      <c r="F1049" s="227" t="s">
        <v>70</v>
      </c>
      <c r="G1049" s="227" t="s">
        <v>429</v>
      </c>
      <c r="H1049" s="227" t="s">
        <v>430</v>
      </c>
      <c r="I1049" s="237"/>
      <c r="J1049" s="238"/>
      <c r="K1049" s="238"/>
      <c r="L1049" s="238"/>
      <c r="M1049" s="238"/>
      <c r="N1049" s="238"/>
      <c r="O1049" s="238"/>
      <c r="P1049" s="238">
        <f>P1050</f>
        <v>1251515.8700000001</v>
      </c>
      <c r="Q1049" s="238">
        <f t="shared" ref="Q1049:U1050" si="1108">Q1050</f>
        <v>2480969.13</v>
      </c>
      <c r="R1049" s="238">
        <f t="shared" si="1108"/>
        <v>252499</v>
      </c>
      <c r="S1049" s="238">
        <f t="shared" si="1108"/>
        <v>0</v>
      </c>
      <c r="T1049" s="238">
        <f t="shared" si="1108"/>
        <v>0</v>
      </c>
      <c r="U1049" s="238">
        <f t="shared" si="1108"/>
        <v>0</v>
      </c>
      <c r="V1049" s="238">
        <f t="shared" si="1099"/>
        <v>1251515.8700000001</v>
      </c>
      <c r="W1049" s="238">
        <f t="shared" si="1099"/>
        <v>2480969.13</v>
      </c>
      <c r="X1049" s="238">
        <f t="shared" si="1099"/>
        <v>252499</v>
      </c>
    </row>
    <row r="1050" spans="1:24" s="229" customFormat="1" ht="25.5" hidden="1">
      <c r="A1050" s="240" t="s">
        <v>260</v>
      </c>
      <c r="B1050" s="227" t="s">
        <v>402</v>
      </c>
      <c r="C1050" s="227" t="s">
        <v>18</v>
      </c>
      <c r="D1050" s="227" t="s">
        <v>13</v>
      </c>
      <c r="E1050" s="227" t="s">
        <v>363</v>
      </c>
      <c r="F1050" s="227" t="s">
        <v>70</v>
      </c>
      <c r="G1050" s="227" t="s">
        <v>429</v>
      </c>
      <c r="H1050" s="227" t="s">
        <v>430</v>
      </c>
      <c r="I1050" s="237" t="s">
        <v>94</v>
      </c>
      <c r="J1050" s="238"/>
      <c r="K1050" s="238"/>
      <c r="L1050" s="238"/>
      <c r="M1050" s="238"/>
      <c r="N1050" s="238"/>
      <c r="O1050" s="238"/>
      <c r="P1050" s="238">
        <f>P1051</f>
        <v>1251515.8700000001</v>
      </c>
      <c r="Q1050" s="238">
        <f t="shared" si="1108"/>
        <v>2480969.13</v>
      </c>
      <c r="R1050" s="238">
        <f t="shared" si="1108"/>
        <v>252499</v>
      </c>
      <c r="S1050" s="238">
        <f t="shared" si="1108"/>
        <v>0</v>
      </c>
      <c r="T1050" s="238">
        <f t="shared" si="1108"/>
        <v>0</v>
      </c>
      <c r="U1050" s="238">
        <f t="shared" si="1108"/>
        <v>0</v>
      </c>
      <c r="V1050" s="238">
        <f t="shared" si="1099"/>
        <v>1251515.8700000001</v>
      </c>
      <c r="W1050" s="238">
        <f t="shared" si="1099"/>
        <v>2480969.13</v>
      </c>
      <c r="X1050" s="238">
        <f t="shared" si="1099"/>
        <v>252499</v>
      </c>
    </row>
    <row r="1051" spans="1:24" s="229" customFormat="1" ht="25.5" hidden="1">
      <c r="A1051" s="239" t="s">
        <v>98</v>
      </c>
      <c r="B1051" s="227" t="s">
        <v>402</v>
      </c>
      <c r="C1051" s="227" t="s">
        <v>18</v>
      </c>
      <c r="D1051" s="227" t="s">
        <v>13</v>
      </c>
      <c r="E1051" s="227" t="s">
        <v>363</v>
      </c>
      <c r="F1051" s="227" t="s">
        <v>70</v>
      </c>
      <c r="G1051" s="227" t="s">
        <v>429</v>
      </c>
      <c r="H1051" s="227" t="s">
        <v>430</v>
      </c>
      <c r="I1051" s="237" t="s">
        <v>95</v>
      </c>
      <c r="J1051" s="238"/>
      <c r="K1051" s="238"/>
      <c r="L1051" s="238"/>
      <c r="M1051" s="238"/>
      <c r="N1051" s="238"/>
      <c r="O1051" s="238"/>
      <c r="P1051" s="238">
        <v>1251515.8700000001</v>
      </c>
      <c r="Q1051" s="238">
        <v>2480969.13</v>
      </c>
      <c r="R1051" s="238">
        <v>252499</v>
      </c>
      <c r="S1051" s="238"/>
      <c r="T1051" s="238"/>
      <c r="U1051" s="238"/>
      <c r="V1051" s="238">
        <f t="shared" si="1099"/>
        <v>1251515.8700000001</v>
      </c>
      <c r="W1051" s="238">
        <f t="shared" si="1099"/>
        <v>2480969.13</v>
      </c>
      <c r="X1051" s="238">
        <f t="shared" si="1099"/>
        <v>252499</v>
      </c>
    </row>
    <row r="1052" spans="1:24" s="229" customFormat="1" hidden="1">
      <c r="A1052" s="235" t="s">
        <v>83</v>
      </c>
      <c r="B1052" s="227" t="s">
        <v>402</v>
      </c>
      <c r="C1052" s="227" t="s">
        <v>18</v>
      </c>
      <c r="D1052" s="227" t="s">
        <v>13</v>
      </c>
      <c r="E1052" s="227" t="s">
        <v>82</v>
      </c>
      <c r="F1052" s="227" t="s">
        <v>70</v>
      </c>
      <c r="G1052" s="227" t="s">
        <v>148</v>
      </c>
      <c r="H1052" s="227" t="s">
        <v>149</v>
      </c>
      <c r="I1052" s="237"/>
      <c r="J1052" s="238"/>
      <c r="K1052" s="238"/>
      <c r="L1052" s="238"/>
      <c r="M1052" s="238"/>
      <c r="N1052" s="238"/>
      <c r="O1052" s="238"/>
      <c r="P1052" s="238">
        <f>P1053+P1056</f>
        <v>2139701.7599999998</v>
      </c>
      <c r="Q1052" s="238">
        <f t="shared" ref="Q1052:U1052" si="1109">Q1053+Q1056</f>
        <v>810109.03</v>
      </c>
      <c r="R1052" s="238">
        <f t="shared" si="1109"/>
        <v>817690.12</v>
      </c>
      <c r="S1052" s="238">
        <f t="shared" si="1109"/>
        <v>60111.54</v>
      </c>
      <c r="T1052" s="238">
        <f t="shared" si="1109"/>
        <v>0</v>
      </c>
      <c r="U1052" s="238">
        <f t="shared" si="1109"/>
        <v>0</v>
      </c>
      <c r="V1052" s="238">
        <f t="shared" si="1099"/>
        <v>2199813.2999999998</v>
      </c>
      <c r="W1052" s="238">
        <f t="shared" si="1099"/>
        <v>810109.03</v>
      </c>
      <c r="X1052" s="238">
        <f t="shared" si="1099"/>
        <v>817690.12</v>
      </c>
    </row>
    <row r="1053" spans="1:24" s="229" customFormat="1" hidden="1">
      <c r="A1053" s="235" t="s">
        <v>346</v>
      </c>
      <c r="B1053" s="227" t="s">
        <v>402</v>
      </c>
      <c r="C1053" s="227" t="s">
        <v>18</v>
      </c>
      <c r="D1053" s="227" t="s">
        <v>13</v>
      </c>
      <c r="E1053" s="227" t="s">
        <v>82</v>
      </c>
      <c r="F1053" s="227" t="s">
        <v>70</v>
      </c>
      <c r="G1053" s="227" t="s">
        <v>148</v>
      </c>
      <c r="H1053" s="227" t="s">
        <v>345</v>
      </c>
      <c r="I1053" s="237"/>
      <c r="J1053" s="238"/>
      <c r="K1053" s="238"/>
      <c r="L1053" s="238"/>
      <c r="M1053" s="238"/>
      <c r="N1053" s="238"/>
      <c r="O1053" s="238"/>
      <c r="P1053" s="238">
        <f>P1054</f>
        <v>750600</v>
      </c>
      <c r="Q1053" s="238">
        <f t="shared" ref="Q1053:U1054" si="1110">Q1054</f>
        <v>758109.03</v>
      </c>
      <c r="R1053" s="238">
        <f t="shared" si="1110"/>
        <v>765690.12</v>
      </c>
      <c r="S1053" s="238">
        <f t="shared" si="1110"/>
        <v>0</v>
      </c>
      <c r="T1053" s="238">
        <f t="shared" si="1110"/>
        <v>0</v>
      </c>
      <c r="U1053" s="238">
        <f t="shared" si="1110"/>
        <v>0</v>
      </c>
      <c r="V1053" s="238">
        <f t="shared" ref="V1053:X1073" si="1111">P1053+S1053</f>
        <v>750600</v>
      </c>
      <c r="W1053" s="238">
        <f t="shared" si="1111"/>
        <v>758109.03</v>
      </c>
      <c r="X1053" s="238">
        <f t="shared" si="1111"/>
        <v>765690.12</v>
      </c>
    </row>
    <row r="1054" spans="1:24" s="229" customFormat="1" ht="25.5" hidden="1">
      <c r="A1054" s="268" t="s">
        <v>72</v>
      </c>
      <c r="B1054" s="227" t="s">
        <v>402</v>
      </c>
      <c r="C1054" s="227" t="s">
        <v>18</v>
      </c>
      <c r="D1054" s="227" t="s">
        <v>13</v>
      </c>
      <c r="E1054" s="227" t="s">
        <v>82</v>
      </c>
      <c r="F1054" s="227" t="s">
        <v>70</v>
      </c>
      <c r="G1054" s="227" t="s">
        <v>148</v>
      </c>
      <c r="H1054" s="227" t="s">
        <v>345</v>
      </c>
      <c r="I1054" s="237" t="s">
        <v>71</v>
      </c>
      <c r="J1054" s="238"/>
      <c r="K1054" s="238"/>
      <c r="L1054" s="238"/>
      <c r="M1054" s="238"/>
      <c r="N1054" s="238"/>
      <c r="O1054" s="238"/>
      <c r="P1054" s="238">
        <f>P1055</f>
        <v>750600</v>
      </c>
      <c r="Q1054" s="238">
        <f t="shared" si="1110"/>
        <v>758109.03</v>
      </c>
      <c r="R1054" s="238">
        <f t="shared" si="1110"/>
        <v>765690.12</v>
      </c>
      <c r="S1054" s="238">
        <f t="shared" si="1110"/>
        <v>0</v>
      </c>
      <c r="T1054" s="238">
        <f t="shared" si="1110"/>
        <v>0</v>
      </c>
      <c r="U1054" s="238">
        <f t="shared" si="1110"/>
        <v>0</v>
      </c>
      <c r="V1054" s="238">
        <f t="shared" si="1111"/>
        <v>750600</v>
      </c>
      <c r="W1054" s="238">
        <f t="shared" si="1111"/>
        <v>758109.03</v>
      </c>
      <c r="X1054" s="238">
        <f t="shared" si="1111"/>
        <v>765690.12</v>
      </c>
    </row>
    <row r="1055" spans="1:24" s="229" customFormat="1" hidden="1">
      <c r="A1055" s="235" t="s">
        <v>249</v>
      </c>
      <c r="B1055" s="227" t="s">
        <v>402</v>
      </c>
      <c r="C1055" s="227" t="s">
        <v>18</v>
      </c>
      <c r="D1055" s="227" t="s">
        <v>13</v>
      </c>
      <c r="E1055" s="227" t="s">
        <v>82</v>
      </c>
      <c r="F1055" s="227" t="s">
        <v>70</v>
      </c>
      <c r="G1055" s="227" t="s">
        <v>148</v>
      </c>
      <c r="H1055" s="227" t="s">
        <v>345</v>
      </c>
      <c r="I1055" s="237" t="s">
        <v>246</v>
      </c>
      <c r="J1055" s="238"/>
      <c r="K1055" s="238"/>
      <c r="L1055" s="238"/>
      <c r="M1055" s="238"/>
      <c r="N1055" s="238"/>
      <c r="O1055" s="238"/>
      <c r="P1055" s="238">
        <v>750600</v>
      </c>
      <c r="Q1055" s="238">
        <v>758109.03</v>
      </c>
      <c r="R1055" s="238">
        <v>765690.12</v>
      </c>
      <c r="S1055" s="238"/>
      <c r="T1055" s="238"/>
      <c r="U1055" s="238"/>
      <c r="V1055" s="238">
        <f t="shared" si="1111"/>
        <v>750600</v>
      </c>
      <c r="W1055" s="238">
        <f t="shared" si="1111"/>
        <v>758109.03</v>
      </c>
      <c r="X1055" s="238">
        <f t="shared" si="1111"/>
        <v>765690.12</v>
      </c>
    </row>
    <row r="1056" spans="1:24" s="229" customFormat="1" hidden="1">
      <c r="A1056" s="239" t="s">
        <v>367</v>
      </c>
      <c r="B1056" s="227" t="s">
        <v>402</v>
      </c>
      <c r="C1056" s="227" t="s">
        <v>18</v>
      </c>
      <c r="D1056" s="227" t="s">
        <v>13</v>
      </c>
      <c r="E1056" s="227" t="s">
        <v>82</v>
      </c>
      <c r="F1056" s="227" t="s">
        <v>70</v>
      </c>
      <c r="G1056" s="227" t="s">
        <v>148</v>
      </c>
      <c r="H1056" s="227" t="s">
        <v>360</v>
      </c>
      <c r="I1056" s="237"/>
      <c r="J1056" s="238"/>
      <c r="K1056" s="238"/>
      <c r="L1056" s="238"/>
      <c r="M1056" s="238"/>
      <c r="N1056" s="238"/>
      <c r="O1056" s="238"/>
      <c r="P1056" s="238">
        <f>P1057</f>
        <v>1389101.76</v>
      </c>
      <c r="Q1056" s="238">
        <f t="shared" ref="Q1056:U1057" si="1112">Q1057</f>
        <v>52000</v>
      </c>
      <c r="R1056" s="238">
        <f t="shared" si="1112"/>
        <v>52000</v>
      </c>
      <c r="S1056" s="238">
        <f t="shared" si="1112"/>
        <v>60111.54</v>
      </c>
      <c r="T1056" s="238">
        <f t="shared" si="1112"/>
        <v>0</v>
      </c>
      <c r="U1056" s="238">
        <f t="shared" si="1112"/>
        <v>0</v>
      </c>
      <c r="V1056" s="238">
        <f t="shared" si="1111"/>
        <v>1449213.3</v>
      </c>
      <c r="W1056" s="238">
        <f t="shared" si="1111"/>
        <v>52000</v>
      </c>
      <c r="X1056" s="238">
        <f t="shared" si="1111"/>
        <v>52000</v>
      </c>
    </row>
    <row r="1057" spans="1:24" s="229" customFormat="1" ht="25.5" hidden="1">
      <c r="A1057" s="240" t="s">
        <v>260</v>
      </c>
      <c r="B1057" s="227" t="s">
        <v>402</v>
      </c>
      <c r="C1057" s="227" t="s">
        <v>18</v>
      </c>
      <c r="D1057" s="227" t="s">
        <v>13</v>
      </c>
      <c r="E1057" s="227" t="s">
        <v>82</v>
      </c>
      <c r="F1057" s="227" t="s">
        <v>70</v>
      </c>
      <c r="G1057" s="227" t="s">
        <v>148</v>
      </c>
      <c r="H1057" s="227" t="s">
        <v>360</v>
      </c>
      <c r="I1057" s="237" t="s">
        <v>94</v>
      </c>
      <c r="J1057" s="238"/>
      <c r="K1057" s="238"/>
      <c r="L1057" s="238"/>
      <c r="M1057" s="238"/>
      <c r="N1057" s="238"/>
      <c r="O1057" s="238"/>
      <c r="P1057" s="238">
        <f>P1058</f>
        <v>1389101.76</v>
      </c>
      <c r="Q1057" s="238">
        <f t="shared" si="1112"/>
        <v>52000</v>
      </c>
      <c r="R1057" s="238">
        <f t="shared" si="1112"/>
        <v>52000</v>
      </c>
      <c r="S1057" s="238">
        <f t="shared" si="1112"/>
        <v>60111.54</v>
      </c>
      <c r="T1057" s="238">
        <f t="shared" si="1112"/>
        <v>0</v>
      </c>
      <c r="U1057" s="238">
        <f t="shared" si="1112"/>
        <v>0</v>
      </c>
      <c r="V1057" s="238">
        <f t="shared" si="1111"/>
        <v>1449213.3</v>
      </c>
      <c r="W1057" s="238">
        <f t="shared" si="1111"/>
        <v>52000</v>
      </c>
      <c r="X1057" s="238">
        <f t="shared" si="1111"/>
        <v>52000</v>
      </c>
    </row>
    <row r="1058" spans="1:24" s="229" customFormat="1" ht="25.5" hidden="1">
      <c r="A1058" s="239" t="s">
        <v>98</v>
      </c>
      <c r="B1058" s="227" t="s">
        <v>402</v>
      </c>
      <c r="C1058" s="227" t="s">
        <v>18</v>
      </c>
      <c r="D1058" s="227" t="s">
        <v>13</v>
      </c>
      <c r="E1058" s="227" t="s">
        <v>82</v>
      </c>
      <c r="F1058" s="227" t="s">
        <v>70</v>
      </c>
      <c r="G1058" s="227" t="s">
        <v>148</v>
      </c>
      <c r="H1058" s="227" t="s">
        <v>360</v>
      </c>
      <c r="I1058" s="237" t="s">
        <v>95</v>
      </c>
      <c r="J1058" s="238"/>
      <c r="K1058" s="238"/>
      <c r="L1058" s="238"/>
      <c r="M1058" s="238"/>
      <c r="N1058" s="238"/>
      <c r="O1058" s="238"/>
      <c r="P1058" s="238">
        <v>1389101.76</v>
      </c>
      <c r="Q1058" s="238">
        <v>52000</v>
      </c>
      <c r="R1058" s="238">
        <v>52000</v>
      </c>
      <c r="S1058" s="238">
        <f>10000+50000+111.54</f>
        <v>60111.54</v>
      </c>
      <c r="T1058" s="238"/>
      <c r="U1058" s="238"/>
      <c r="V1058" s="238">
        <f t="shared" si="1111"/>
        <v>1449213.3</v>
      </c>
      <c r="W1058" s="238">
        <f t="shared" si="1111"/>
        <v>52000</v>
      </c>
      <c r="X1058" s="238">
        <f t="shared" si="1111"/>
        <v>52000</v>
      </c>
    </row>
    <row r="1059" spans="1:24" s="255" customFormat="1" hidden="1">
      <c r="A1059" s="280" t="s">
        <v>239</v>
      </c>
      <c r="B1059" s="232" t="s">
        <v>402</v>
      </c>
      <c r="C1059" s="232" t="s">
        <v>18</v>
      </c>
      <c r="D1059" s="232" t="s">
        <v>18</v>
      </c>
      <c r="E1059" s="232"/>
      <c r="F1059" s="232"/>
      <c r="G1059" s="232"/>
      <c r="H1059" s="232"/>
      <c r="I1059" s="233"/>
      <c r="J1059" s="234"/>
      <c r="K1059" s="234"/>
      <c r="L1059" s="234"/>
      <c r="M1059" s="234"/>
      <c r="N1059" s="234"/>
      <c r="O1059" s="234"/>
      <c r="P1059" s="234">
        <f>P1060</f>
        <v>0</v>
      </c>
      <c r="Q1059" s="234">
        <f t="shared" ref="Q1059:U1062" si="1113">Q1060</f>
        <v>0</v>
      </c>
      <c r="R1059" s="234">
        <f t="shared" si="1113"/>
        <v>0</v>
      </c>
      <c r="S1059" s="234">
        <f t="shared" si="1113"/>
        <v>1200000</v>
      </c>
      <c r="T1059" s="234">
        <f t="shared" si="1113"/>
        <v>0</v>
      </c>
      <c r="U1059" s="234">
        <f t="shared" si="1113"/>
        <v>0</v>
      </c>
      <c r="V1059" s="234">
        <f t="shared" si="1111"/>
        <v>1200000</v>
      </c>
      <c r="W1059" s="234">
        <f t="shared" si="1111"/>
        <v>0</v>
      </c>
      <c r="X1059" s="234">
        <f t="shared" si="1111"/>
        <v>0</v>
      </c>
    </row>
    <row r="1060" spans="1:24" s="229" customFormat="1" ht="38.25" hidden="1">
      <c r="A1060" s="235" t="s">
        <v>292</v>
      </c>
      <c r="B1060" s="227" t="s">
        <v>402</v>
      </c>
      <c r="C1060" s="227" t="s">
        <v>18</v>
      </c>
      <c r="D1060" s="227" t="s">
        <v>18</v>
      </c>
      <c r="E1060" s="227" t="s">
        <v>357</v>
      </c>
      <c r="F1060" s="227" t="s">
        <v>70</v>
      </c>
      <c r="G1060" s="227" t="s">
        <v>148</v>
      </c>
      <c r="H1060" s="227" t="s">
        <v>149</v>
      </c>
      <c r="I1060" s="237"/>
      <c r="J1060" s="238"/>
      <c r="K1060" s="238"/>
      <c r="L1060" s="238"/>
      <c r="M1060" s="238"/>
      <c r="N1060" s="238"/>
      <c r="O1060" s="238"/>
      <c r="P1060" s="238">
        <f>P1061</f>
        <v>0</v>
      </c>
      <c r="Q1060" s="238">
        <f t="shared" si="1113"/>
        <v>0</v>
      </c>
      <c r="R1060" s="238">
        <f t="shared" si="1113"/>
        <v>0</v>
      </c>
      <c r="S1060" s="238">
        <f t="shared" si="1113"/>
        <v>1200000</v>
      </c>
      <c r="T1060" s="238">
        <f t="shared" si="1113"/>
        <v>0</v>
      </c>
      <c r="U1060" s="238">
        <f t="shared" si="1113"/>
        <v>0</v>
      </c>
      <c r="V1060" s="238">
        <f t="shared" si="1111"/>
        <v>1200000</v>
      </c>
      <c r="W1060" s="238">
        <f t="shared" si="1111"/>
        <v>0</v>
      </c>
      <c r="X1060" s="238">
        <f t="shared" si="1111"/>
        <v>0</v>
      </c>
    </row>
    <row r="1061" spans="1:24" s="229" customFormat="1" ht="25.5" hidden="1">
      <c r="A1061" s="239" t="s">
        <v>443</v>
      </c>
      <c r="B1061" s="227" t="s">
        <v>402</v>
      </c>
      <c r="C1061" s="227" t="s">
        <v>18</v>
      </c>
      <c r="D1061" s="227" t="s">
        <v>18</v>
      </c>
      <c r="E1061" s="227" t="s">
        <v>357</v>
      </c>
      <c r="F1061" s="227" t="s">
        <v>70</v>
      </c>
      <c r="G1061" s="227" t="s">
        <v>148</v>
      </c>
      <c r="H1061" s="227" t="s">
        <v>442</v>
      </c>
      <c r="I1061" s="237"/>
      <c r="J1061" s="238"/>
      <c r="K1061" s="238"/>
      <c r="L1061" s="238"/>
      <c r="M1061" s="238"/>
      <c r="N1061" s="238"/>
      <c r="O1061" s="238"/>
      <c r="P1061" s="238">
        <f>P1062</f>
        <v>0</v>
      </c>
      <c r="Q1061" s="238">
        <f t="shared" si="1113"/>
        <v>0</v>
      </c>
      <c r="R1061" s="238">
        <f t="shared" si="1113"/>
        <v>0</v>
      </c>
      <c r="S1061" s="238">
        <f t="shared" si="1113"/>
        <v>1200000</v>
      </c>
      <c r="T1061" s="238">
        <f t="shared" si="1113"/>
        <v>0</v>
      </c>
      <c r="U1061" s="238">
        <f t="shared" si="1113"/>
        <v>0</v>
      </c>
      <c r="V1061" s="238">
        <f t="shared" si="1111"/>
        <v>1200000</v>
      </c>
      <c r="W1061" s="238">
        <f t="shared" si="1111"/>
        <v>0</v>
      </c>
      <c r="X1061" s="238">
        <f t="shared" si="1111"/>
        <v>0</v>
      </c>
    </row>
    <row r="1062" spans="1:24" s="229" customFormat="1" ht="25.5" hidden="1">
      <c r="A1062" s="268" t="s">
        <v>120</v>
      </c>
      <c r="B1062" s="227" t="s">
        <v>402</v>
      </c>
      <c r="C1062" s="227" t="s">
        <v>18</v>
      </c>
      <c r="D1062" s="227" t="s">
        <v>18</v>
      </c>
      <c r="E1062" s="227" t="s">
        <v>357</v>
      </c>
      <c r="F1062" s="227" t="s">
        <v>70</v>
      </c>
      <c r="G1062" s="227" t="s">
        <v>148</v>
      </c>
      <c r="H1062" s="227" t="s">
        <v>442</v>
      </c>
      <c r="I1062" s="237" t="s">
        <v>118</v>
      </c>
      <c r="J1062" s="238"/>
      <c r="K1062" s="238"/>
      <c r="L1062" s="238"/>
      <c r="M1062" s="238"/>
      <c r="N1062" s="238"/>
      <c r="O1062" s="238"/>
      <c r="P1062" s="238">
        <f>P1063</f>
        <v>0</v>
      </c>
      <c r="Q1062" s="238">
        <f t="shared" si="1113"/>
        <v>0</v>
      </c>
      <c r="R1062" s="238">
        <f t="shared" si="1113"/>
        <v>0</v>
      </c>
      <c r="S1062" s="238">
        <f t="shared" si="1113"/>
        <v>1200000</v>
      </c>
      <c r="T1062" s="238">
        <f t="shared" si="1113"/>
        <v>0</v>
      </c>
      <c r="U1062" s="238">
        <f t="shared" si="1113"/>
        <v>0</v>
      </c>
      <c r="V1062" s="238">
        <f t="shared" si="1111"/>
        <v>1200000</v>
      </c>
      <c r="W1062" s="238">
        <f t="shared" si="1111"/>
        <v>0</v>
      </c>
      <c r="X1062" s="238">
        <f t="shared" si="1111"/>
        <v>0</v>
      </c>
    </row>
    <row r="1063" spans="1:24" s="229" customFormat="1" hidden="1">
      <c r="A1063" s="268" t="s">
        <v>121</v>
      </c>
      <c r="B1063" s="227" t="s">
        <v>402</v>
      </c>
      <c r="C1063" s="227" t="s">
        <v>18</v>
      </c>
      <c r="D1063" s="227" t="s">
        <v>18</v>
      </c>
      <c r="E1063" s="227" t="s">
        <v>357</v>
      </c>
      <c r="F1063" s="227" t="s">
        <v>70</v>
      </c>
      <c r="G1063" s="227" t="s">
        <v>148</v>
      </c>
      <c r="H1063" s="227" t="s">
        <v>442</v>
      </c>
      <c r="I1063" s="237" t="s">
        <v>119</v>
      </c>
      <c r="J1063" s="238"/>
      <c r="K1063" s="238"/>
      <c r="L1063" s="238"/>
      <c r="M1063" s="238"/>
      <c r="N1063" s="238"/>
      <c r="O1063" s="238"/>
      <c r="P1063" s="238"/>
      <c r="Q1063" s="238"/>
      <c r="R1063" s="238"/>
      <c r="S1063" s="238">
        <f>936000+264000</f>
        <v>1200000</v>
      </c>
      <c r="T1063" s="238"/>
      <c r="U1063" s="238"/>
      <c r="V1063" s="238">
        <f t="shared" si="1111"/>
        <v>1200000</v>
      </c>
      <c r="W1063" s="238">
        <f t="shared" si="1111"/>
        <v>0</v>
      </c>
      <c r="X1063" s="238">
        <f t="shared" si="1111"/>
        <v>0</v>
      </c>
    </row>
    <row r="1064" spans="1:24" s="229" customFormat="1" ht="15.75" hidden="1">
      <c r="A1064" s="225" t="s">
        <v>65</v>
      </c>
      <c r="B1064" s="274" t="s">
        <v>402</v>
      </c>
      <c r="C1064" s="274" t="s">
        <v>3</v>
      </c>
      <c r="D1064" s="274"/>
      <c r="E1064" s="274"/>
      <c r="F1064" s="274"/>
      <c r="G1064" s="274"/>
      <c r="H1064" s="274"/>
      <c r="I1064" s="275"/>
      <c r="J1064" s="228"/>
      <c r="K1064" s="228"/>
      <c r="L1064" s="228"/>
      <c r="M1064" s="228"/>
      <c r="N1064" s="228"/>
      <c r="O1064" s="228"/>
      <c r="P1064" s="228">
        <f>P1065</f>
        <v>13002743.17</v>
      </c>
      <c r="Q1064" s="228">
        <f t="shared" ref="Q1064:U1065" si="1114">Q1065</f>
        <v>10869000</v>
      </c>
      <c r="R1064" s="228">
        <f t="shared" si="1114"/>
        <v>10869000</v>
      </c>
      <c r="S1064" s="228">
        <f t="shared" si="1114"/>
        <v>0</v>
      </c>
      <c r="T1064" s="228">
        <f t="shared" si="1114"/>
        <v>0</v>
      </c>
      <c r="U1064" s="228">
        <f t="shared" si="1114"/>
        <v>0</v>
      </c>
      <c r="V1064" s="228">
        <f t="shared" si="1111"/>
        <v>13002743.17</v>
      </c>
      <c r="W1064" s="228">
        <f t="shared" si="1111"/>
        <v>10869000</v>
      </c>
      <c r="X1064" s="228">
        <f t="shared" si="1111"/>
        <v>10869000</v>
      </c>
    </row>
    <row r="1065" spans="1:24" s="229" customFormat="1" hidden="1">
      <c r="A1065" s="230" t="s">
        <v>217</v>
      </c>
      <c r="B1065" s="232" t="s">
        <v>402</v>
      </c>
      <c r="C1065" s="232" t="s">
        <v>3</v>
      </c>
      <c r="D1065" s="232" t="s">
        <v>18</v>
      </c>
      <c r="E1065" s="232"/>
      <c r="F1065" s="232"/>
      <c r="G1065" s="232"/>
      <c r="H1065" s="232"/>
      <c r="I1065" s="233"/>
      <c r="J1065" s="234"/>
      <c r="K1065" s="234"/>
      <c r="L1065" s="234"/>
      <c r="M1065" s="234"/>
      <c r="N1065" s="234"/>
      <c r="O1065" s="234"/>
      <c r="P1065" s="234">
        <f>P1066</f>
        <v>13002743.17</v>
      </c>
      <c r="Q1065" s="234">
        <f t="shared" si="1114"/>
        <v>10869000</v>
      </c>
      <c r="R1065" s="234">
        <f t="shared" si="1114"/>
        <v>10869000</v>
      </c>
      <c r="S1065" s="234">
        <f t="shared" si="1114"/>
        <v>0</v>
      </c>
      <c r="T1065" s="234">
        <f t="shared" si="1114"/>
        <v>0</v>
      </c>
      <c r="U1065" s="234">
        <f t="shared" si="1114"/>
        <v>0</v>
      </c>
      <c r="V1065" s="234">
        <f t="shared" si="1111"/>
        <v>13002743.17</v>
      </c>
      <c r="W1065" s="234">
        <f t="shared" si="1111"/>
        <v>10869000</v>
      </c>
      <c r="X1065" s="234">
        <f t="shared" si="1111"/>
        <v>10869000</v>
      </c>
    </row>
    <row r="1066" spans="1:24" s="229" customFormat="1" ht="38.25" hidden="1">
      <c r="A1066" s="235" t="s">
        <v>292</v>
      </c>
      <c r="B1066" s="227" t="s">
        <v>402</v>
      </c>
      <c r="C1066" s="227" t="s">
        <v>3</v>
      </c>
      <c r="D1066" s="227" t="s">
        <v>18</v>
      </c>
      <c r="E1066" s="227" t="s">
        <v>357</v>
      </c>
      <c r="F1066" s="227" t="s">
        <v>70</v>
      </c>
      <c r="G1066" s="227" t="s">
        <v>148</v>
      </c>
      <c r="H1066" s="227" t="s">
        <v>149</v>
      </c>
      <c r="I1066" s="237"/>
      <c r="J1066" s="238"/>
      <c r="K1066" s="238"/>
      <c r="L1066" s="238"/>
      <c r="M1066" s="238"/>
      <c r="N1066" s="238"/>
      <c r="O1066" s="238"/>
      <c r="P1066" s="238">
        <f>P1067+P1070+P1073</f>
        <v>13002743.17</v>
      </c>
      <c r="Q1066" s="238">
        <f t="shared" ref="Q1066:U1066" si="1115">Q1067+Q1070+Q1073</f>
        <v>10869000</v>
      </c>
      <c r="R1066" s="238">
        <f t="shared" si="1115"/>
        <v>10869000</v>
      </c>
      <c r="S1066" s="238">
        <f t="shared" si="1115"/>
        <v>0</v>
      </c>
      <c r="T1066" s="238">
        <f t="shared" si="1115"/>
        <v>0</v>
      </c>
      <c r="U1066" s="238">
        <f t="shared" si="1115"/>
        <v>0</v>
      </c>
      <c r="V1066" s="238">
        <f t="shared" si="1111"/>
        <v>13002743.17</v>
      </c>
      <c r="W1066" s="238">
        <f t="shared" si="1111"/>
        <v>10869000</v>
      </c>
      <c r="X1066" s="238">
        <f t="shared" si="1111"/>
        <v>10869000</v>
      </c>
    </row>
    <row r="1067" spans="1:24" s="229" customFormat="1" ht="25.5" hidden="1">
      <c r="A1067" s="239" t="s">
        <v>373</v>
      </c>
      <c r="B1067" s="227" t="s">
        <v>402</v>
      </c>
      <c r="C1067" s="227" t="s">
        <v>3</v>
      </c>
      <c r="D1067" s="227" t="s">
        <v>18</v>
      </c>
      <c r="E1067" s="227" t="s">
        <v>357</v>
      </c>
      <c r="F1067" s="227" t="s">
        <v>70</v>
      </c>
      <c r="G1067" s="227" t="s">
        <v>148</v>
      </c>
      <c r="H1067" s="227" t="s">
        <v>372</v>
      </c>
      <c r="I1067" s="237"/>
      <c r="J1067" s="238"/>
      <c r="K1067" s="238"/>
      <c r="L1067" s="238"/>
      <c r="M1067" s="238"/>
      <c r="N1067" s="238"/>
      <c r="O1067" s="238"/>
      <c r="P1067" s="238">
        <f>P1068</f>
        <v>8002743.1699999999</v>
      </c>
      <c r="Q1067" s="238">
        <f t="shared" ref="Q1067:U1068" si="1116">Q1068</f>
        <v>8469000</v>
      </c>
      <c r="R1067" s="238">
        <f t="shared" si="1116"/>
        <v>9219000</v>
      </c>
      <c r="S1067" s="238">
        <f t="shared" si="1116"/>
        <v>0</v>
      </c>
      <c r="T1067" s="238">
        <f t="shared" si="1116"/>
        <v>0</v>
      </c>
      <c r="U1067" s="238">
        <f t="shared" si="1116"/>
        <v>0</v>
      </c>
      <c r="V1067" s="238">
        <f t="shared" si="1111"/>
        <v>8002743.1699999999</v>
      </c>
      <c r="W1067" s="238">
        <f t="shared" si="1111"/>
        <v>8469000</v>
      </c>
      <c r="X1067" s="238">
        <f t="shared" si="1111"/>
        <v>9219000</v>
      </c>
    </row>
    <row r="1068" spans="1:24" s="229" customFormat="1" ht="25.5" hidden="1">
      <c r="A1068" s="240" t="s">
        <v>260</v>
      </c>
      <c r="B1068" s="227" t="s">
        <v>402</v>
      </c>
      <c r="C1068" s="227" t="s">
        <v>3</v>
      </c>
      <c r="D1068" s="227" t="s">
        <v>18</v>
      </c>
      <c r="E1068" s="227" t="s">
        <v>357</v>
      </c>
      <c r="F1068" s="227" t="s">
        <v>70</v>
      </c>
      <c r="G1068" s="227" t="s">
        <v>148</v>
      </c>
      <c r="H1068" s="227" t="s">
        <v>372</v>
      </c>
      <c r="I1068" s="237" t="s">
        <v>94</v>
      </c>
      <c r="J1068" s="238"/>
      <c r="K1068" s="238"/>
      <c r="L1068" s="238"/>
      <c r="M1068" s="238"/>
      <c r="N1068" s="238"/>
      <c r="O1068" s="238"/>
      <c r="P1068" s="238">
        <f>P1069</f>
        <v>8002743.1699999999</v>
      </c>
      <c r="Q1068" s="238">
        <f t="shared" si="1116"/>
        <v>8469000</v>
      </c>
      <c r="R1068" s="238">
        <f t="shared" si="1116"/>
        <v>9219000</v>
      </c>
      <c r="S1068" s="238">
        <f t="shared" si="1116"/>
        <v>0</v>
      </c>
      <c r="T1068" s="238">
        <f t="shared" si="1116"/>
        <v>0</v>
      </c>
      <c r="U1068" s="238">
        <f t="shared" si="1116"/>
        <v>0</v>
      </c>
      <c r="V1068" s="238">
        <f t="shared" si="1111"/>
        <v>8002743.1699999999</v>
      </c>
      <c r="W1068" s="238">
        <f t="shared" si="1111"/>
        <v>8469000</v>
      </c>
      <c r="X1068" s="238">
        <f t="shared" si="1111"/>
        <v>9219000</v>
      </c>
    </row>
    <row r="1069" spans="1:24" s="229" customFormat="1" ht="25.5" hidden="1">
      <c r="A1069" s="239" t="s">
        <v>98</v>
      </c>
      <c r="B1069" s="227" t="s">
        <v>402</v>
      </c>
      <c r="C1069" s="227" t="s">
        <v>3</v>
      </c>
      <c r="D1069" s="227" t="s">
        <v>18</v>
      </c>
      <c r="E1069" s="227" t="s">
        <v>357</v>
      </c>
      <c r="F1069" s="227" t="s">
        <v>70</v>
      </c>
      <c r="G1069" s="227" t="s">
        <v>148</v>
      </c>
      <c r="H1069" s="227" t="s">
        <v>372</v>
      </c>
      <c r="I1069" s="237" t="s">
        <v>95</v>
      </c>
      <c r="J1069" s="238"/>
      <c r="K1069" s="238"/>
      <c r="L1069" s="238"/>
      <c r="M1069" s="238"/>
      <c r="N1069" s="238"/>
      <c r="O1069" s="238"/>
      <c r="P1069" s="238">
        <v>8002743.1699999999</v>
      </c>
      <c r="Q1069" s="238">
        <v>8469000</v>
      </c>
      <c r="R1069" s="238">
        <v>9219000</v>
      </c>
      <c r="S1069" s="238"/>
      <c r="T1069" s="238"/>
      <c r="U1069" s="238"/>
      <c r="V1069" s="238">
        <f t="shared" si="1111"/>
        <v>8002743.1699999999</v>
      </c>
      <c r="W1069" s="238">
        <f t="shared" si="1111"/>
        <v>8469000</v>
      </c>
      <c r="X1069" s="238">
        <f t="shared" si="1111"/>
        <v>9219000</v>
      </c>
    </row>
    <row r="1070" spans="1:24" s="229" customFormat="1" ht="15.75" hidden="1" customHeight="1">
      <c r="A1070" s="239" t="s">
        <v>371</v>
      </c>
      <c r="B1070" s="227" t="s">
        <v>402</v>
      </c>
      <c r="C1070" s="227" t="s">
        <v>3</v>
      </c>
      <c r="D1070" s="227" t="s">
        <v>18</v>
      </c>
      <c r="E1070" s="227" t="s">
        <v>357</v>
      </c>
      <c r="F1070" s="227" t="s">
        <v>70</v>
      </c>
      <c r="G1070" s="227" t="s">
        <v>148</v>
      </c>
      <c r="H1070" s="227" t="s">
        <v>370</v>
      </c>
      <c r="I1070" s="237"/>
      <c r="J1070" s="238"/>
      <c r="K1070" s="238"/>
      <c r="L1070" s="238"/>
      <c r="M1070" s="238"/>
      <c r="N1070" s="238"/>
      <c r="O1070" s="238"/>
      <c r="P1070" s="238">
        <f>P1071</f>
        <v>4850000</v>
      </c>
      <c r="Q1070" s="238">
        <f t="shared" ref="Q1070:U1071" si="1117">Q1071</f>
        <v>2250000</v>
      </c>
      <c r="R1070" s="238">
        <f t="shared" si="1117"/>
        <v>1500000</v>
      </c>
      <c r="S1070" s="238">
        <f t="shared" si="1117"/>
        <v>0</v>
      </c>
      <c r="T1070" s="238">
        <f t="shared" si="1117"/>
        <v>0</v>
      </c>
      <c r="U1070" s="238">
        <f t="shared" si="1117"/>
        <v>0</v>
      </c>
      <c r="V1070" s="238">
        <f t="shared" si="1111"/>
        <v>4850000</v>
      </c>
      <c r="W1070" s="238">
        <f t="shared" si="1111"/>
        <v>2250000</v>
      </c>
      <c r="X1070" s="238">
        <f t="shared" si="1111"/>
        <v>1500000</v>
      </c>
    </row>
    <row r="1071" spans="1:24" s="229" customFormat="1" ht="25.5" hidden="1">
      <c r="A1071" s="240" t="s">
        <v>260</v>
      </c>
      <c r="B1071" s="227" t="s">
        <v>402</v>
      </c>
      <c r="C1071" s="227" t="s">
        <v>3</v>
      </c>
      <c r="D1071" s="227" t="s">
        <v>18</v>
      </c>
      <c r="E1071" s="227" t="s">
        <v>357</v>
      </c>
      <c r="F1071" s="227" t="s">
        <v>70</v>
      </c>
      <c r="G1071" s="227" t="s">
        <v>148</v>
      </c>
      <c r="H1071" s="227" t="s">
        <v>370</v>
      </c>
      <c r="I1071" s="237" t="s">
        <v>94</v>
      </c>
      <c r="J1071" s="238"/>
      <c r="K1071" s="238"/>
      <c r="L1071" s="238"/>
      <c r="M1071" s="238"/>
      <c r="N1071" s="238"/>
      <c r="O1071" s="238"/>
      <c r="P1071" s="238">
        <f>P1072</f>
        <v>4850000</v>
      </c>
      <c r="Q1071" s="238">
        <f t="shared" si="1117"/>
        <v>2250000</v>
      </c>
      <c r="R1071" s="238">
        <f t="shared" si="1117"/>
        <v>1500000</v>
      </c>
      <c r="S1071" s="238">
        <f t="shared" si="1117"/>
        <v>0</v>
      </c>
      <c r="T1071" s="238">
        <f t="shared" si="1117"/>
        <v>0</v>
      </c>
      <c r="U1071" s="238">
        <f t="shared" si="1117"/>
        <v>0</v>
      </c>
      <c r="V1071" s="238">
        <f t="shared" si="1111"/>
        <v>4850000</v>
      </c>
      <c r="W1071" s="238">
        <f t="shared" si="1111"/>
        <v>2250000</v>
      </c>
      <c r="X1071" s="238">
        <f t="shared" si="1111"/>
        <v>1500000</v>
      </c>
    </row>
    <row r="1072" spans="1:24" s="229" customFormat="1" ht="25.5" hidden="1">
      <c r="A1072" s="239" t="s">
        <v>98</v>
      </c>
      <c r="B1072" s="227" t="s">
        <v>402</v>
      </c>
      <c r="C1072" s="227" t="s">
        <v>3</v>
      </c>
      <c r="D1072" s="227" t="s">
        <v>18</v>
      </c>
      <c r="E1072" s="227" t="s">
        <v>357</v>
      </c>
      <c r="F1072" s="227" t="s">
        <v>70</v>
      </c>
      <c r="G1072" s="227" t="s">
        <v>148</v>
      </c>
      <c r="H1072" s="227" t="s">
        <v>370</v>
      </c>
      <c r="I1072" s="237" t="s">
        <v>95</v>
      </c>
      <c r="J1072" s="238"/>
      <c r="K1072" s="238"/>
      <c r="L1072" s="238"/>
      <c r="M1072" s="238"/>
      <c r="N1072" s="238"/>
      <c r="O1072" s="238"/>
      <c r="P1072" s="238">
        <v>4850000</v>
      </c>
      <c r="Q1072" s="238">
        <v>2250000</v>
      </c>
      <c r="R1072" s="238">
        <v>1500000</v>
      </c>
      <c r="S1072" s="238"/>
      <c r="T1072" s="238"/>
      <c r="U1072" s="238"/>
      <c r="V1072" s="238">
        <f t="shared" si="1111"/>
        <v>4850000</v>
      </c>
      <c r="W1072" s="238">
        <f t="shared" si="1111"/>
        <v>2250000</v>
      </c>
      <c r="X1072" s="238">
        <f t="shared" si="1111"/>
        <v>1500000</v>
      </c>
    </row>
    <row r="1073" spans="1:24" s="229" customFormat="1" hidden="1">
      <c r="A1073" s="239" t="s">
        <v>384</v>
      </c>
      <c r="B1073" s="227" t="s">
        <v>402</v>
      </c>
      <c r="C1073" s="227" t="s">
        <v>3</v>
      </c>
      <c r="D1073" s="227" t="s">
        <v>18</v>
      </c>
      <c r="E1073" s="227" t="s">
        <v>357</v>
      </c>
      <c r="F1073" s="227" t="s">
        <v>70</v>
      </c>
      <c r="G1073" s="227" t="s">
        <v>148</v>
      </c>
      <c r="H1073" s="227" t="s">
        <v>383</v>
      </c>
      <c r="I1073" s="237"/>
      <c r="J1073" s="238"/>
      <c r="K1073" s="238"/>
      <c r="L1073" s="238"/>
      <c r="M1073" s="238"/>
      <c r="N1073" s="238"/>
      <c r="O1073" s="238"/>
      <c r="P1073" s="238">
        <f>P1074</f>
        <v>150000</v>
      </c>
      <c r="Q1073" s="238">
        <f t="shared" ref="Q1073:U1074" si="1118">Q1074</f>
        <v>150000</v>
      </c>
      <c r="R1073" s="238">
        <f t="shared" si="1118"/>
        <v>150000</v>
      </c>
      <c r="S1073" s="238">
        <f t="shared" si="1118"/>
        <v>0</v>
      </c>
      <c r="T1073" s="238">
        <f t="shared" si="1118"/>
        <v>0</v>
      </c>
      <c r="U1073" s="238">
        <f t="shared" si="1118"/>
        <v>0</v>
      </c>
      <c r="V1073" s="238">
        <f t="shared" si="1111"/>
        <v>150000</v>
      </c>
      <c r="W1073" s="238">
        <f t="shared" si="1111"/>
        <v>150000</v>
      </c>
      <c r="X1073" s="238">
        <f t="shared" si="1111"/>
        <v>150000</v>
      </c>
    </row>
    <row r="1074" spans="1:24" s="229" customFormat="1" ht="25.5" hidden="1">
      <c r="A1074" s="240" t="s">
        <v>260</v>
      </c>
      <c r="B1074" s="227" t="s">
        <v>402</v>
      </c>
      <c r="C1074" s="227" t="s">
        <v>3</v>
      </c>
      <c r="D1074" s="227" t="s">
        <v>18</v>
      </c>
      <c r="E1074" s="227" t="s">
        <v>357</v>
      </c>
      <c r="F1074" s="227" t="s">
        <v>70</v>
      </c>
      <c r="G1074" s="227" t="s">
        <v>148</v>
      </c>
      <c r="H1074" s="227" t="s">
        <v>383</v>
      </c>
      <c r="I1074" s="237" t="s">
        <v>94</v>
      </c>
      <c r="J1074" s="238"/>
      <c r="K1074" s="238"/>
      <c r="L1074" s="238"/>
      <c r="M1074" s="238"/>
      <c r="N1074" s="238"/>
      <c r="O1074" s="238"/>
      <c r="P1074" s="238">
        <f>P1075</f>
        <v>150000</v>
      </c>
      <c r="Q1074" s="238">
        <f t="shared" si="1118"/>
        <v>150000</v>
      </c>
      <c r="R1074" s="238">
        <f t="shared" si="1118"/>
        <v>150000</v>
      </c>
      <c r="S1074" s="238">
        <f t="shared" si="1118"/>
        <v>0</v>
      </c>
      <c r="T1074" s="238">
        <f t="shared" si="1118"/>
        <v>0</v>
      </c>
      <c r="U1074" s="238">
        <f t="shared" si="1118"/>
        <v>0</v>
      </c>
      <c r="V1074" s="238">
        <f t="shared" ref="V1074:X1089" si="1119">P1074+S1074</f>
        <v>150000</v>
      </c>
      <c r="W1074" s="238">
        <f t="shared" si="1119"/>
        <v>150000</v>
      </c>
      <c r="X1074" s="238">
        <f t="shared" si="1119"/>
        <v>150000</v>
      </c>
    </row>
    <row r="1075" spans="1:24" s="229" customFormat="1" ht="25.5" hidden="1">
      <c r="A1075" s="239" t="s">
        <v>98</v>
      </c>
      <c r="B1075" s="227" t="s">
        <v>402</v>
      </c>
      <c r="C1075" s="227" t="s">
        <v>3</v>
      </c>
      <c r="D1075" s="227" t="s">
        <v>18</v>
      </c>
      <c r="E1075" s="227" t="s">
        <v>357</v>
      </c>
      <c r="F1075" s="227" t="s">
        <v>70</v>
      </c>
      <c r="G1075" s="227" t="s">
        <v>148</v>
      </c>
      <c r="H1075" s="227" t="s">
        <v>383</v>
      </c>
      <c r="I1075" s="237" t="s">
        <v>95</v>
      </c>
      <c r="J1075" s="238"/>
      <c r="K1075" s="238"/>
      <c r="L1075" s="238"/>
      <c r="M1075" s="238"/>
      <c r="N1075" s="238"/>
      <c r="O1075" s="238"/>
      <c r="P1075" s="238">
        <v>150000</v>
      </c>
      <c r="Q1075" s="238">
        <v>150000</v>
      </c>
      <c r="R1075" s="238">
        <v>150000</v>
      </c>
      <c r="S1075" s="238"/>
      <c r="T1075" s="238"/>
      <c r="U1075" s="238"/>
      <c r="V1075" s="238">
        <f t="shared" si="1119"/>
        <v>150000</v>
      </c>
      <c r="W1075" s="238">
        <f t="shared" si="1119"/>
        <v>150000</v>
      </c>
      <c r="X1075" s="238">
        <f t="shared" si="1119"/>
        <v>150000</v>
      </c>
    </row>
    <row r="1076" spans="1:24" s="282" customFormat="1" ht="15.75" hidden="1">
      <c r="A1076" s="281" t="s">
        <v>24</v>
      </c>
      <c r="B1076" s="274" t="s">
        <v>402</v>
      </c>
      <c r="C1076" s="274" t="s">
        <v>2</v>
      </c>
      <c r="D1076" s="274"/>
      <c r="E1076" s="274"/>
      <c r="F1076" s="274"/>
      <c r="G1076" s="274"/>
      <c r="H1076" s="274"/>
      <c r="I1076" s="275"/>
      <c r="J1076" s="228"/>
      <c r="K1076" s="228"/>
      <c r="L1076" s="228"/>
      <c r="M1076" s="228"/>
      <c r="N1076" s="228"/>
      <c r="O1076" s="228"/>
      <c r="P1076" s="228">
        <f>P1077</f>
        <v>46530000</v>
      </c>
      <c r="Q1076" s="228">
        <f t="shared" ref="Q1076:U1078" si="1120">Q1077</f>
        <v>0</v>
      </c>
      <c r="R1076" s="228">
        <f t="shared" si="1120"/>
        <v>0</v>
      </c>
      <c r="S1076" s="228">
        <f t="shared" si="1120"/>
        <v>9849224.5199999996</v>
      </c>
      <c r="T1076" s="228">
        <f t="shared" si="1120"/>
        <v>0</v>
      </c>
      <c r="U1076" s="228">
        <f t="shared" si="1120"/>
        <v>0</v>
      </c>
      <c r="V1076" s="228">
        <f t="shared" si="1119"/>
        <v>56379224.519999996</v>
      </c>
      <c r="W1076" s="228">
        <f t="shared" si="1119"/>
        <v>0</v>
      </c>
      <c r="X1076" s="228">
        <f t="shared" si="1119"/>
        <v>0</v>
      </c>
    </row>
    <row r="1077" spans="1:24" s="255" customFormat="1" hidden="1">
      <c r="A1077" s="280" t="s">
        <v>25</v>
      </c>
      <c r="B1077" s="232" t="s">
        <v>402</v>
      </c>
      <c r="C1077" s="232" t="s">
        <v>2</v>
      </c>
      <c r="D1077" s="232" t="s">
        <v>17</v>
      </c>
      <c r="E1077" s="232"/>
      <c r="F1077" s="232"/>
      <c r="G1077" s="232"/>
      <c r="H1077" s="232"/>
      <c r="I1077" s="233"/>
      <c r="J1077" s="234"/>
      <c r="K1077" s="234"/>
      <c r="L1077" s="234"/>
      <c r="M1077" s="234"/>
      <c r="N1077" s="234"/>
      <c r="O1077" s="234"/>
      <c r="P1077" s="234">
        <f>P1078</f>
        <v>46530000</v>
      </c>
      <c r="Q1077" s="234">
        <f t="shared" si="1120"/>
        <v>0</v>
      </c>
      <c r="R1077" s="234">
        <f t="shared" si="1120"/>
        <v>0</v>
      </c>
      <c r="S1077" s="234">
        <f t="shared" si="1120"/>
        <v>9849224.5199999996</v>
      </c>
      <c r="T1077" s="234">
        <f t="shared" si="1120"/>
        <v>0</v>
      </c>
      <c r="U1077" s="234">
        <f t="shared" si="1120"/>
        <v>0</v>
      </c>
      <c r="V1077" s="234">
        <f t="shared" si="1119"/>
        <v>56379224.519999996</v>
      </c>
      <c r="W1077" s="234">
        <f t="shared" si="1119"/>
        <v>0</v>
      </c>
      <c r="X1077" s="234">
        <f t="shared" si="1119"/>
        <v>0</v>
      </c>
    </row>
    <row r="1078" spans="1:24" s="229" customFormat="1" ht="38.25" hidden="1">
      <c r="A1078" s="239" t="s">
        <v>289</v>
      </c>
      <c r="B1078" s="227" t="s">
        <v>402</v>
      </c>
      <c r="C1078" s="227" t="s">
        <v>2</v>
      </c>
      <c r="D1078" s="227" t="s">
        <v>17</v>
      </c>
      <c r="E1078" s="227" t="s">
        <v>27</v>
      </c>
      <c r="F1078" s="227" t="s">
        <v>70</v>
      </c>
      <c r="G1078" s="227" t="s">
        <v>148</v>
      </c>
      <c r="H1078" s="227" t="s">
        <v>149</v>
      </c>
      <c r="I1078" s="237"/>
      <c r="J1078" s="238"/>
      <c r="K1078" s="238"/>
      <c r="L1078" s="238"/>
      <c r="M1078" s="238"/>
      <c r="N1078" s="238"/>
      <c r="O1078" s="238"/>
      <c r="P1078" s="238">
        <f>P1079</f>
        <v>46530000</v>
      </c>
      <c r="Q1078" s="238">
        <f t="shared" si="1120"/>
        <v>0</v>
      </c>
      <c r="R1078" s="238">
        <f t="shared" si="1120"/>
        <v>0</v>
      </c>
      <c r="S1078" s="238">
        <f t="shared" si="1120"/>
        <v>9849224.5199999996</v>
      </c>
      <c r="T1078" s="238">
        <f t="shared" si="1120"/>
        <v>0</v>
      </c>
      <c r="U1078" s="238">
        <f t="shared" si="1120"/>
        <v>0</v>
      </c>
      <c r="V1078" s="238">
        <f t="shared" si="1119"/>
        <v>56379224.519999996</v>
      </c>
      <c r="W1078" s="238">
        <f t="shared" si="1119"/>
        <v>0</v>
      </c>
      <c r="X1078" s="238">
        <f t="shared" si="1119"/>
        <v>0</v>
      </c>
    </row>
    <row r="1079" spans="1:24" s="229" customFormat="1" hidden="1">
      <c r="A1079" s="239" t="s">
        <v>425</v>
      </c>
      <c r="B1079" s="227" t="s">
        <v>402</v>
      </c>
      <c r="C1079" s="227" t="s">
        <v>2</v>
      </c>
      <c r="D1079" s="227" t="s">
        <v>17</v>
      </c>
      <c r="E1079" s="227" t="s">
        <v>27</v>
      </c>
      <c r="F1079" s="227" t="s">
        <v>134</v>
      </c>
      <c r="G1079" s="227" t="s">
        <v>148</v>
      </c>
      <c r="H1079" s="227" t="s">
        <v>149</v>
      </c>
      <c r="I1079" s="237"/>
      <c r="J1079" s="238"/>
      <c r="K1079" s="238"/>
      <c r="L1079" s="238"/>
      <c r="M1079" s="238"/>
      <c r="N1079" s="238"/>
      <c r="O1079" s="238"/>
      <c r="P1079" s="238">
        <f>P1080+P1083</f>
        <v>46530000</v>
      </c>
      <c r="Q1079" s="238">
        <f t="shared" ref="Q1079:U1079" si="1121">Q1080+Q1083</f>
        <v>0</v>
      </c>
      <c r="R1079" s="238">
        <f t="shared" si="1121"/>
        <v>0</v>
      </c>
      <c r="S1079" s="238">
        <f t="shared" si="1121"/>
        <v>9849224.5199999996</v>
      </c>
      <c r="T1079" s="238">
        <f t="shared" si="1121"/>
        <v>0</v>
      </c>
      <c r="U1079" s="238">
        <f t="shared" si="1121"/>
        <v>0</v>
      </c>
      <c r="V1079" s="238">
        <f t="shared" si="1119"/>
        <v>56379224.519999996</v>
      </c>
      <c r="W1079" s="238">
        <f t="shared" si="1119"/>
        <v>0</v>
      </c>
      <c r="X1079" s="238">
        <f t="shared" si="1119"/>
        <v>0</v>
      </c>
    </row>
    <row r="1080" spans="1:24" s="229" customFormat="1" ht="25.5" hidden="1">
      <c r="A1080" s="239" t="s">
        <v>426</v>
      </c>
      <c r="B1080" s="227" t="s">
        <v>402</v>
      </c>
      <c r="C1080" s="227" t="s">
        <v>2</v>
      </c>
      <c r="D1080" s="227" t="s">
        <v>17</v>
      </c>
      <c r="E1080" s="227" t="s">
        <v>27</v>
      </c>
      <c r="F1080" s="227" t="s">
        <v>134</v>
      </c>
      <c r="G1080" s="227" t="s">
        <v>148</v>
      </c>
      <c r="H1080" s="227" t="s">
        <v>424</v>
      </c>
      <c r="I1080" s="237"/>
      <c r="J1080" s="238"/>
      <c r="K1080" s="238"/>
      <c r="L1080" s="238"/>
      <c r="M1080" s="238"/>
      <c r="N1080" s="238"/>
      <c r="O1080" s="238"/>
      <c r="P1080" s="238">
        <f>P1081</f>
        <v>46530000</v>
      </c>
      <c r="Q1080" s="238">
        <f t="shared" ref="Q1080:U1081" si="1122">Q1081</f>
        <v>0</v>
      </c>
      <c r="R1080" s="238">
        <f t="shared" si="1122"/>
        <v>0</v>
      </c>
      <c r="S1080" s="238">
        <f t="shared" si="1122"/>
        <v>-16030000</v>
      </c>
      <c r="T1080" s="238">
        <f t="shared" si="1122"/>
        <v>0</v>
      </c>
      <c r="U1080" s="238">
        <f t="shared" si="1122"/>
        <v>0</v>
      </c>
      <c r="V1080" s="238">
        <f t="shared" si="1119"/>
        <v>30500000</v>
      </c>
      <c r="W1080" s="238">
        <f t="shared" si="1119"/>
        <v>0</v>
      </c>
      <c r="X1080" s="238">
        <f t="shared" si="1119"/>
        <v>0</v>
      </c>
    </row>
    <row r="1081" spans="1:24" s="229" customFormat="1" ht="25.5" hidden="1">
      <c r="A1081" s="268" t="s">
        <v>120</v>
      </c>
      <c r="B1081" s="227" t="s">
        <v>402</v>
      </c>
      <c r="C1081" s="227" t="s">
        <v>2</v>
      </c>
      <c r="D1081" s="227" t="s">
        <v>17</v>
      </c>
      <c r="E1081" s="227" t="s">
        <v>27</v>
      </c>
      <c r="F1081" s="227" t="s">
        <v>134</v>
      </c>
      <c r="G1081" s="227" t="s">
        <v>148</v>
      </c>
      <c r="H1081" s="227" t="s">
        <v>424</v>
      </c>
      <c r="I1081" s="237" t="s">
        <v>118</v>
      </c>
      <c r="J1081" s="238"/>
      <c r="K1081" s="238"/>
      <c r="L1081" s="238"/>
      <c r="M1081" s="238"/>
      <c r="N1081" s="238"/>
      <c r="O1081" s="238"/>
      <c r="P1081" s="238">
        <f>P1082</f>
        <v>46530000</v>
      </c>
      <c r="Q1081" s="238">
        <f t="shared" si="1122"/>
        <v>0</v>
      </c>
      <c r="R1081" s="238">
        <f t="shared" si="1122"/>
        <v>0</v>
      </c>
      <c r="S1081" s="238">
        <f t="shared" si="1122"/>
        <v>-16030000</v>
      </c>
      <c r="T1081" s="238">
        <f t="shared" si="1122"/>
        <v>0</v>
      </c>
      <c r="U1081" s="238">
        <f t="shared" si="1122"/>
        <v>0</v>
      </c>
      <c r="V1081" s="238">
        <f t="shared" si="1119"/>
        <v>30500000</v>
      </c>
      <c r="W1081" s="238">
        <f t="shared" si="1119"/>
        <v>0</v>
      </c>
      <c r="X1081" s="238">
        <f t="shared" si="1119"/>
        <v>0</v>
      </c>
    </row>
    <row r="1082" spans="1:24" s="229" customFormat="1" hidden="1">
      <c r="A1082" s="268" t="s">
        <v>121</v>
      </c>
      <c r="B1082" s="227" t="s">
        <v>402</v>
      </c>
      <c r="C1082" s="227" t="s">
        <v>2</v>
      </c>
      <c r="D1082" s="227" t="s">
        <v>17</v>
      </c>
      <c r="E1082" s="227" t="s">
        <v>27</v>
      </c>
      <c r="F1082" s="227" t="s">
        <v>134</v>
      </c>
      <c r="G1082" s="227" t="s">
        <v>148</v>
      </c>
      <c r="H1082" s="227" t="s">
        <v>424</v>
      </c>
      <c r="I1082" s="237" t="s">
        <v>119</v>
      </c>
      <c r="J1082" s="238"/>
      <c r="K1082" s="238"/>
      <c r="L1082" s="238"/>
      <c r="M1082" s="238"/>
      <c r="N1082" s="238"/>
      <c r="O1082" s="238"/>
      <c r="P1082" s="238">
        <v>46530000</v>
      </c>
      <c r="Q1082" s="238">
        <v>0</v>
      </c>
      <c r="R1082" s="238">
        <v>0</v>
      </c>
      <c r="S1082" s="238">
        <v>-16030000</v>
      </c>
      <c r="T1082" s="238"/>
      <c r="U1082" s="238"/>
      <c r="V1082" s="238">
        <f t="shared" si="1119"/>
        <v>30500000</v>
      </c>
      <c r="W1082" s="238">
        <f t="shared" si="1119"/>
        <v>0</v>
      </c>
      <c r="X1082" s="238">
        <f t="shared" si="1119"/>
        <v>0</v>
      </c>
    </row>
    <row r="1083" spans="1:24" s="229" customFormat="1" ht="25.5" hidden="1">
      <c r="A1083" s="268" t="s">
        <v>445</v>
      </c>
      <c r="B1083" s="227" t="s">
        <v>402</v>
      </c>
      <c r="C1083" s="227" t="s">
        <v>2</v>
      </c>
      <c r="D1083" s="227" t="s">
        <v>17</v>
      </c>
      <c r="E1083" s="227" t="s">
        <v>27</v>
      </c>
      <c r="F1083" s="227" t="s">
        <v>134</v>
      </c>
      <c r="G1083" s="227" t="s">
        <v>148</v>
      </c>
      <c r="H1083" s="227" t="s">
        <v>444</v>
      </c>
      <c r="I1083" s="237"/>
      <c r="J1083" s="238"/>
      <c r="K1083" s="238"/>
      <c r="L1083" s="238"/>
      <c r="M1083" s="238"/>
      <c r="N1083" s="238"/>
      <c r="O1083" s="238"/>
      <c r="P1083" s="238">
        <f>P1084</f>
        <v>0</v>
      </c>
      <c r="Q1083" s="238">
        <f t="shared" ref="Q1083:U1084" si="1123">Q1084</f>
        <v>0</v>
      </c>
      <c r="R1083" s="238">
        <f t="shared" si="1123"/>
        <v>0</v>
      </c>
      <c r="S1083" s="238">
        <f t="shared" si="1123"/>
        <v>25879224.52</v>
      </c>
      <c r="T1083" s="238">
        <f t="shared" si="1123"/>
        <v>0</v>
      </c>
      <c r="U1083" s="238">
        <f t="shared" si="1123"/>
        <v>0</v>
      </c>
      <c r="V1083" s="238">
        <f t="shared" si="1119"/>
        <v>25879224.52</v>
      </c>
      <c r="W1083" s="238">
        <f t="shared" si="1119"/>
        <v>0</v>
      </c>
      <c r="X1083" s="238">
        <f t="shared" si="1119"/>
        <v>0</v>
      </c>
    </row>
    <row r="1084" spans="1:24" s="229" customFormat="1" ht="25.5" hidden="1">
      <c r="A1084" s="268" t="s">
        <v>120</v>
      </c>
      <c r="B1084" s="227" t="s">
        <v>402</v>
      </c>
      <c r="C1084" s="227" t="s">
        <v>2</v>
      </c>
      <c r="D1084" s="227" t="s">
        <v>17</v>
      </c>
      <c r="E1084" s="227" t="s">
        <v>27</v>
      </c>
      <c r="F1084" s="227" t="s">
        <v>134</v>
      </c>
      <c r="G1084" s="227" t="s">
        <v>148</v>
      </c>
      <c r="H1084" s="227" t="s">
        <v>444</v>
      </c>
      <c r="I1084" s="237" t="s">
        <v>118</v>
      </c>
      <c r="J1084" s="238"/>
      <c r="K1084" s="238"/>
      <c r="L1084" s="238"/>
      <c r="M1084" s="238"/>
      <c r="N1084" s="238"/>
      <c r="O1084" s="238"/>
      <c r="P1084" s="238">
        <f>P1085</f>
        <v>0</v>
      </c>
      <c r="Q1084" s="238">
        <f t="shared" si="1123"/>
        <v>0</v>
      </c>
      <c r="R1084" s="238">
        <f t="shared" si="1123"/>
        <v>0</v>
      </c>
      <c r="S1084" s="238">
        <f t="shared" si="1123"/>
        <v>25879224.52</v>
      </c>
      <c r="T1084" s="238">
        <f t="shared" si="1123"/>
        <v>0</v>
      </c>
      <c r="U1084" s="238">
        <f t="shared" si="1123"/>
        <v>0</v>
      </c>
      <c r="V1084" s="238">
        <f t="shared" si="1119"/>
        <v>25879224.52</v>
      </c>
      <c r="W1084" s="238">
        <f t="shared" si="1119"/>
        <v>0</v>
      </c>
      <c r="X1084" s="238">
        <f t="shared" si="1119"/>
        <v>0</v>
      </c>
    </row>
    <row r="1085" spans="1:24" s="229" customFormat="1" hidden="1">
      <c r="A1085" s="268" t="s">
        <v>121</v>
      </c>
      <c r="B1085" s="227" t="s">
        <v>402</v>
      </c>
      <c r="C1085" s="227" t="s">
        <v>2</v>
      </c>
      <c r="D1085" s="227" t="s">
        <v>17</v>
      </c>
      <c r="E1085" s="227" t="s">
        <v>27</v>
      </c>
      <c r="F1085" s="227" t="s">
        <v>134</v>
      </c>
      <c r="G1085" s="227" t="s">
        <v>148</v>
      </c>
      <c r="H1085" s="227" t="s">
        <v>444</v>
      </c>
      <c r="I1085" s="237" t="s">
        <v>119</v>
      </c>
      <c r="J1085" s="238"/>
      <c r="K1085" s="238"/>
      <c r="L1085" s="238"/>
      <c r="M1085" s="238"/>
      <c r="N1085" s="238"/>
      <c r="O1085" s="238"/>
      <c r="P1085" s="238"/>
      <c r="Q1085" s="238"/>
      <c r="R1085" s="238"/>
      <c r="S1085" s="238">
        <f>25853345.3+25879.22</f>
        <v>25879224.52</v>
      </c>
      <c r="T1085" s="238"/>
      <c r="U1085" s="238"/>
      <c r="V1085" s="238">
        <f t="shared" si="1119"/>
        <v>25879224.52</v>
      </c>
      <c r="W1085" s="238">
        <f t="shared" si="1119"/>
        <v>0</v>
      </c>
      <c r="X1085" s="238">
        <f t="shared" si="1119"/>
        <v>0</v>
      </c>
    </row>
    <row r="1086" spans="1:24" s="229" customFormat="1" ht="15.75" hidden="1">
      <c r="A1086" s="273" t="s">
        <v>128</v>
      </c>
      <c r="B1086" s="226" t="s">
        <v>402</v>
      </c>
      <c r="C1086" s="226" t="s">
        <v>14</v>
      </c>
      <c r="D1086" s="226"/>
      <c r="E1086" s="226"/>
      <c r="F1086" s="226"/>
      <c r="G1086" s="226"/>
      <c r="H1086" s="226"/>
      <c r="I1086" s="275"/>
      <c r="J1086" s="228"/>
      <c r="K1086" s="228"/>
      <c r="L1086" s="228"/>
      <c r="M1086" s="228"/>
      <c r="N1086" s="228"/>
      <c r="O1086" s="228"/>
      <c r="P1086" s="228">
        <f>P1087</f>
        <v>672500</v>
      </c>
      <c r="Q1086" s="228">
        <f t="shared" ref="Q1086:U1086" si="1124">Q1087</f>
        <v>172500</v>
      </c>
      <c r="R1086" s="228">
        <f t="shared" si="1124"/>
        <v>57500</v>
      </c>
      <c r="S1086" s="228">
        <f t="shared" si="1124"/>
        <v>0</v>
      </c>
      <c r="T1086" s="228">
        <f t="shared" si="1124"/>
        <v>0</v>
      </c>
      <c r="U1086" s="228">
        <f t="shared" si="1124"/>
        <v>0</v>
      </c>
      <c r="V1086" s="228">
        <f t="shared" si="1119"/>
        <v>672500</v>
      </c>
      <c r="W1086" s="228">
        <f t="shared" si="1119"/>
        <v>172500</v>
      </c>
      <c r="X1086" s="228">
        <f t="shared" si="1119"/>
        <v>57500</v>
      </c>
    </row>
    <row r="1087" spans="1:24" s="229" customFormat="1" hidden="1">
      <c r="A1087" s="230" t="s">
        <v>129</v>
      </c>
      <c r="B1087" s="231" t="s">
        <v>402</v>
      </c>
      <c r="C1087" s="231" t="s">
        <v>14</v>
      </c>
      <c r="D1087" s="231" t="s">
        <v>14</v>
      </c>
      <c r="E1087" s="231"/>
      <c r="F1087" s="231"/>
      <c r="G1087" s="231"/>
      <c r="H1087" s="231"/>
      <c r="I1087" s="233"/>
      <c r="J1087" s="234"/>
      <c r="K1087" s="234"/>
      <c r="L1087" s="234"/>
      <c r="M1087" s="234"/>
      <c r="N1087" s="234"/>
      <c r="O1087" s="234"/>
      <c r="P1087" s="234">
        <f>P1088+P1093</f>
        <v>672500</v>
      </c>
      <c r="Q1087" s="234">
        <f t="shared" ref="Q1087:U1087" si="1125">Q1088+Q1093</f>
        <v>172500</v>
      </c>
      <c r="R1087" s="234">
        <f t="shared" si="1125"/>
        <v>57500</v>
      </c>
      <c r="S1087" s="234">
        <f t="shared" si="1125"/>
        <v>0</v>
      </c>
      <c r="T1087" s="234">
        <f t="shared" si="1125"/>
        <v>0</v>
      </c>
      <c r="U1087" s="234">
        <f t="shared" si="1125"/>
        <v>0</v>
      </c>
      <c r="V1087" s="234">
        <f t="shared" si="1119"/>
        <v>672500</v>
      </c>
      <c r="W1087" s="234">
        <f t="shared" si="1119"/>
        <v>172500</v>
      </c>
      <c r="X1087" s="234">
        <f t="shared" si="1119"/>
        <v>57500</v>
      </c>
    </row>
    <row r="1088" spans="1:24" s="229" customFormat="1" ht="38.25" hidden="1">
      <c r="A1088" s="235" t="s">
        <v>289</v>
      </c>
      <c r="B1088" s="243" t="s">
        <v>402</v>
      </c>
      <c r="C1088" s="243" t="s">
        <v>14</v>
      </c>
      <c r="D1088" s="243" t="s">
        <v>14</v>
      </c>
      <c r="E1088" s="236" t="s">
        <v>27</v>
      </c>
      <c r="F1088" s="236" t="s">
        <v>70</v>
      </c>
      <c r="G1088" s="236" t="s">
        <v>148</v>
      </c>
      <c r="H1088" s="236" t="s">
        <v>149</v>
      </c>
      <c r="I1088" s="237"/>
      <c r="J1088" s="238"/>
      <c r="K1088" s="238"/>
      <c r="L1088" s="238"/>
      <c r="M1088" s="238"/>
      <c r="N1088" s="238"/>
      <c r="O1088" s="238"/>
      <c r="P1088" s="238">
        <f>P1089</f>
        <v>500000</v>
      </c>
      <c r="Q1088" s="238">
        <f t="shared" ref="Q1088:U1091" si="1126">Q1089</f>
        <v>0</v>
      </c>
      <c r="R1088" s="238">
        <f t="shared" si="1126"/>
        <v>0</v>
      </c>
      <c r="S1088" s="238">
        <f t="shared" si="1126"/>
        <v>0</v>
      </c>
      <c r="T1088" s="238">
        <f t="shared" si="1126"/>
        <v>0</v>
      </c>
      <c r="U1088" s="238">
        <f t="shared" si="1126"/>
        <v>0</v>
      </c>
      <c r="V1088" s="238">
        <f t="shared" si="1119"/>
        <v>500000</v>
      </c>
      <c r="W1088" s="238">
        <f t="shared" si="1119"/>
        <v>0</v>
      </c>
      <c r="X1088" s="238">
        <f t="shared" si="1119"/>
        <v>0</v>
      </c>
    </row>
    <row r="1089" spans="1:24" s="229" customFormat="1" hidden="1">
      <c r="A1089" s="239" t="s">
        <v>224</v>
      </c>
      <c r="B1089" s="243" t="s">
        <v>402</v>
      </c>
      <c r="C1089" s="243" t="s">
        <v>14</v>
      </c>
      <c r="D1089" s="243" t="s">
        <v>14</v>
      </c>
      <c r="E1089" s="236" t="s">
        <v>27</v>
      </c>
      <c r="F1089" s="236" t="s">
        <v>44</v>
      </c>
      <c r="G1089" s="236" t="s">
        <v>148</v>
      </c>
      <c r="H1089" s="236" t="s">
        <v>149</v>
      </c>
      <c r="I1089" s="237"/>
      <c r="J1089" s="238"/>
      <c r="K1089" s="238"/>
      <c r="L1089" s="238"/>
      <c r="M1089" s="238"/>
      <c r="N1089" s="238"/>
      <c r="O1089" s="238"/>
      <c r="P1089" s="238">
        <f>P1090</f>
        <v>500000</v>
      </c>
      <c r="Q1089" s="238">
        <f t="shared" si="1126"/>
        <v>0</v>
      </c>
      <c r="R1089" s="238">
        <f t="shared" si="1126"/>
        <v>0</v>
      </c>
      <c r="S1089" s="238">
        <f t="shared" si="1126"/>
        <v>0</v>
      </c>
      <c r="T1089" s="238">
        <f t="shared" si="1126"/>
        <v>0</v>
      </c>
      <c r="U1089" s="238">
        <f t="shared" si="1126"/>
        <v>0</v>
      </c>
      <c r="V1089" s="238">
        <f t="shared" si="1119"/>
        <v>500000</v>
      </c>
      <c r="W1089" s="238">
        <f t="shared" si="1119"/>
        <v>0</v>
      </c>
      <c r="X1089" s="238">
        <f t="shared" si="1119"/>
        <v>0</v>
      </c>
    </row>
    <row r="1090" spans="1:24" s="229" customFormat="1" ht="25.5" hidden="1">
      <c r="A1090" s="239" t="s">
        <v>212</v>
      </c>
      <c r="B1090" s="243" t="s">
        <v>402</v>
      </c>
      <c r="C1090" s="243" t="s">
        <v>14</v>
      </c>
      <c r="D1090" s="243" t="s">
        <v>14</v>
      </c>
      <c r="E1090" s="236" t="s">
        <v>27</v>
      </c>
      <c r="F1090" s="236" t="s">
        <v>44</v>
      </c>
      <c r="G1090" s="236" t="s">
        <v>148</v>
      </c>
      <c r="H1090" s="236" t="s">
        <v>213</v>
      </c>
      <c r="I1090" s="237"/>
      <c r="J1090" s="238"/>
      <c r="K1090" s="238"/>
      <c r="L1090" s="238"/>
      <c r="M1090" s="238"/>
      <c r="N1090" s="238"/>
      <c r="O1090" s="238"/>
      <c r="P1090" s="238">
        <f>P1091</f>
        <v>500000</v>
      </c>
      <c r="Q1090" s="238">
        <f t="shared" si="1126"/>
        <v>0</v>
      </c>
      <c r="R1090" s="238">
        <f t="shared" si="1126"/>
        <v>0</v>
      </c>
      <c r="S1090" s="238">
        <f t="shared" si="1126"/>
        <v>0</v>
      </c>
      <c r="T1090" s="238">
        <f t="shared" si="1126"/>
        <v>0</v>
      </c>
      <c r="U1090" s="238">
        <f t="shared" si="1126"/>
        <v>0</v>
      </c>
      <c r="V1090" s="238">
        <f t="shared" ref="V1090:X1105" si="1127">P1090+S1090</f>
        <v>500000</v>
      </c>
      <c r="W1090" s="238">
        <f t="shared" si="1127"/>
        <v>0</v>
      </c>
      <c r="X1090" s="238">
        <f t="shared" si="1127"/>
        <v>0</v>
      </c>
    </row>
    <row r="1091" spans="1:24" s="229" customFormat="1" ht="25.5" hidden="1">
      <c r="A1091" s="240" t="s">
        <v>260</v>
      </c>
      <c r="B1091" s="243" t="s">
        <v>402</v>
      </c>
      <c r="C1091" s="243" t="s">
        <v>14</v>
      </c>
      <c r="D1091" s="243" t="s">
        <v>14</v>
      </c>
      <c r="E1091" s="236" t="s">
        <v>27</v>
      </c>
      <c r="F1091" s="236" t="s">
        <v>44</v>
      </c>
      <c r="G1091" s="236" t="s">
        <v>148</v>
      </c>
      <c r="H1091" s="236" t="s">
        <v>213</v>
      </c>
      <c r="I1091" s="237" t="s">
        <v>94</v>
      </c>
      <c r="J1091" s="238"/>
      <c r="K1091" s="238"/>
      <c r="L1091" s="238"/>
      <c r="M1091" s="238"/>
      <c r="N1091" s="238"/>
      <c r="O1091" s="238"/>
      <c r="P1091" s="238">
        <f>P1092</f>
        <v>500000</v>
      </c>
      <c r="Q1091" s="238">
        <f t="shared" si="1126"/>
        <v>0</v>
      </c>
      <c r="R1091" s="238">
        <f t="shared" si="1126"/>
        <v>0</v>
      </c>
      <c r="S1091" s="238">
        <f t="shared" si="1126"/>
        <v>0</v>
      </c>
      <c r="T1091" s="238">
        <f t="shared" si="1126"/>
        <v>0</v>
      </c>
      <c r="U1091" s="238">
        <f t="shared" si="1126"/>
        <v>0</v>
      </c>
      <c r="V1091" s="238">
        <f t="shared" si="1127"/>
        <v>500000</v>
      </c>
      <c r="W1091" s="238">
        <f t="shared" si="1127"/>
        <v>0</v>
      </c>
      <c r="X1091" s="238">
        <f t="shared" si="1127"/>
        <v>0</v>
      </c>
    </row>
    <row r="1092" spans="1:24" s="229" customFormat="1" ht="25.5" hidden="1">
      <c r="A1092" s="239" t="s">
        <v>98</v>
      </c>
      <c r="B1092" s="243" t="s">
        <v>402</v>
      </c>
      <c r="C1092" s="243" t="s">
        <v>14</v>
      </c>
      <c r="D1092" s="243" t="s">
        <v>14</v>
      </c>
      <c r="E1092" s="236" t="s">
        <v>27</v>
      </c>
      <c r="F1092" s="236" t="s">
        <v>44</v>
      </c>
      <c r="G1092" s="236" t="s">
        <v>148</v>
      </c>
      <c r="H1092" s="236" t="s">
        <v>213</v>
      </c>
      <c r="I1092" s="237" t="s">
        <v>95</v>
      </c>
      <c r="J1092" s="238"/>
      <c r="K1092" s="238"/>
      <c r="L1092" s="238"/>
      <c r="M1092" s="238"/>
      <c r="N1092" s="238"/>
      <c r="O1092" s="238"/>
      <c r="P1092" s="238">
        <v>500000</v>
      </c>
      <c r="Q1092" s="238">
        <v>0</v>
      </c>
      <c r="R1092" s="238">
        <v>0</v>
      </c>
      <c r="S1092" s="238"/>
      <c r="T1092" s="238"/>
      <c r="U1092" s="238"/>
      <c r="V1092" s="238">
        <f t="shared" si="1127"/>
        <v>500000</v>
      </c>
      <c r="W1092" s="238">
        <f t="shared" si="1127"/>
        <v>0</v>
      </c>
      <c r="X1092" s="238">
        <f t="shared" si="1127"/>
        <v>0</v>
      </c>
    </row>
    <row r="1093" spans="1:24" s="229" customFormat="1" ht="25.5" hidden="1">
      <c r="A1093" s="300" t="s">
        <v>393</v>
      </c>
      <c r="B1093" s="243" t="s">
        <v>402</v>
      </c>
      <c r="C1093" s="243" t="s">
        <v>14</v>
      </c>
      <c r="D1093" s="243" t="s">
        <v>14</v>
      </c>
      <c r="E1093" s="243" t="s">
        <v>196</v>
      </c>
      <c r="F1093" s="243" t="s">
        <v>70</v>
      </c>
      <c r="G1093" s="243" t="s">
        <v>148</v>
      </c>
      <c r="H1093" s="243" t="s">
        <v>149</v>
      </c>
      <c r="I1093" s="237"/>
      <c r="J1093" s="238"/>
      <c r="K1093" s="238"/>
      <c r="L1093" s="238"/>
      <c r="M1093" s="238"/>
      <c r="N1093" s="238"/>
      <c r="O1093" s="238"/>
      <c r="P1093" s="238">
        <f>P1094</f>
        <v>172500</v>
      </c>
      <c r="Q1093" s="238">
        <f t="shared" ref="Q1093:U1095" si="1128">Q1094</f>
        <v>172500</v>
      </c>
      <c r="R1093" s="238">
        <f t="shared" si="1128"/>
        <v>57500</v>
      </c>
      <c r="S1093" s="238">
        <f t="shared" si="1128"/>
        <v>0</v>
      </c>
      <c r="T1093" s="238">
        <f t="shared" si="1128"/>
        <v>0</v>
      </c>
      <c r="U1093" s="238">
        <f t="shared" si="1128"/>
        <v>0</v>
      </c>
      <c r="V1093" s="238">
        <f t="shared" si="1127"/>
        <v>172500</v>
      </c>
      <c r="W1093" s="238">
        <f t="shared" si="1127"/>
        <v>172500</v>
      </c>
      <c r="X1093" s="238">
        <f t="shared" si="1127"/>
        <v>57500</v>
      </c>
    </row>
    <row r="1094" spans="1:24" s="229" customFormat="1" hidden="1">
      <c r="A1094" s="284" t="s">
        <v>197</v>
      </c>
      <c r="B1094" s="243" t="s">
        <v>402</v>
      </c>
      <c r="C1094" s="243" t="s">
        <v>14</v>
      </c>
      <c r="D1094" s="243" t="s">
        <v>14</v>
      </c>
      <c r="E1094" s="243" t="s">
        <v>196</v>
      </c>
      <c r="F1094" s="243" t="s">
        <v>70</v>
      </c>
      <c r="G1094" s="243" t="s">
        <v>148</v>
      </c>
      <c r="H1094" s="243" t="s">
        <v>198</v>
      </c>
      <c r="I1094" s="237"/>
      <c r="J1094" s="238"/>
      <c r="K1094" s="238"/>
      <c r="L1094" s="238"/>
      <c r="M1094" s="238"/>
      <c r="N1094" s="238"/>
      <c r="O1094" s="238"/>
      <c r="P1094" s="238">
        <f>P1095</f>
        <v>172500</v>
      </c>
      <c r="Q1094" s="238">
        <f t="shared" si="1128"/>
        <v>172500</v>
      </c>
      <c r="R1094" s="238">
        <f t="shared" si="1128"/>
        <v>57500</v>
      </c>
      <c r="S1094" s="238">
        <f t="shared" si="1128"/>
        <v>0</v>
      </c>
      <c r="T1094" s="238">
        <f t="shared" si="1128"/>
        <v>0</v>
      </c>
      <c r="U1094" s="238">
        <f t="shared" si="1128"/>
        <v>0</v>
      </c>
      <c r="V1094" s="238">
        <f t="shared" si="1127"/>
        <v>172500</v>
      </c>
      <c r="W1094" s="238">
        <f t="shared" si="1127"/>
        <v>172500</v>
      </c>
      <c r="X1094" s="238">
        <f t="shared" si="1127"/>
        <v>57500</v>
      </c>
    </row>
    <row r="1095" spans="1:24" s="229" customFormat="1" hidden="1">
      <c r="A1095" s="235" t="s">
        <v>100</v>
      </c>
      <c r="B1095" s="243" t="s">
        <v>402</v>
      </c>
      <c r="C1095" s="243" t="s">
        <v>14</v>
      </c>
      <c r="D1095" s="243" t="s">
        <v>14</v>
      </c>
      <c r="E1095" s="243" t="s">
        <v>196</v>
      </c>
      <c r="F1095" s="243" t="s">
        <v>70</v>
      </c>
      <c r="G1095" s="243" t="s">
        <v>148</v>
      </c>
      <c r="H1095" s="243" t="s">
        <v>198</v>
      </c>
      <c r="I1095" s="237" t="s">
        <v>99</v>
      </c>
      <c r="J1095" s="238"/>
      <c r="K1095" s="238"/>
      <c r="L1095" s="238"/>
      <c r="M1095" s="238"/>
      <c r="N1095" s="238"/>
      <c r="O1095" s="238"/>
      <c r="P1095" s="238">
        <f>P1096</f>
        <v>172500</v>
      </c>
      <c r="Q1095" s="238">
        <f t="shared" si="1128"/>
        <v>172500</v>
      </c>
      <c r="R1095" s="238">
        <f t="shared" si="1128"/>
        <v>57500</v>
      </c>
      <c r="S1095" s="238">
        <f t="shared" si="1128"/>
        <v>0</v>
      </c>
      <c r="T1095" s="238">
        <f t="shared" si="1128"/>
        <v>0</v>
      </c>
      <c r="U1095" s="238">
        <f t="shared" si="1128"/>
        <v>0</v>
      </c>
      <c r="V1095" s="238">
        <f t="shared" si="1127"/>
        <v>172500</v>
      </c>
      <c r="W1095" s="238">
        <f t="shared" si="1127"/>
        <v>172500</v>
      </c>
      <c r="X1095" s="238">
        <f t="shared" si="1127"/>
        <v>57500</v>
      </c>
    </row>
    <row r="1096" spans="1:24" s="229" customFormat="1" ht="25.5" hidden="1">
      <c r="A1096" s="235" t="s">
        <v>106</v>
      </c>
      <c r="B1096" s="243" t="s">
        <v>402</v>
      </c>
      <c r="C1096" s="243" t="s">
        <v>14</v>
      </c>
      <c r="D1096" s="243" t="s">
        <v>14</v>
      </c>
      <c r="E1096" s="243" t="s">
        <v>196</v>
      </c>
      <c r="F1096" s="243" t="s">
        <v>70</v>
      </c>
      <c r="G1096" s="243" t="s">
        <v>148</v>
      </c>
      <c r="H1096" s="243" t="s">
        <v>198</v>
      </c>
      <c r="I1096" s="237" t="s">
        <v>107</v>
      </c>
      <c r="J1096" s="238"/>
      <c r="K1096" s="238"/>
      <c r="L1096" s="238"/>
      <c r="M1096" s="238"/>
      <c r="N1096" s="238"/>
      <c r="O1096" s="238"/>
      <c r="P1096" s="238">
        <v>172500</v>
      </c>
      <c r="Q1096" s="238">
        <v>172500</v>
      </c>
      <c r="R1096" s="238">
        <v>57500</v>
      </c>
      <c r="S1096" s="238"/>
      <c r="T1096" s="238"/>
      <c r="U1096" s="238"/>
      <c r="V1096" s="238">
        <f t="shared" si="1127"/>
        <v>172500</v>
      </c>
      <c r="W1096" s="238">
        <f t="shared" si="1127"/>
        <v>172500</v>
      </c>
      <c r="X1096" s="238">
        <f t="shared" si="1127"/>
        <v>57500</v>
      </c>
    </row>
    <row r="1097" spans="1:24" s="229" customFormat="1" ht="15.75" hidden="1">
      <c r="A1097" s="225" t="s">
        <v>5</v>
      </c>
      <c r="B1097" s="274" t="s">
        <v>402</v>
      </c>
      <c r="C1097" s="274" t="s">
        <v>30</v>
      </c>
      <c r="D1097" s="274"/>
      <c r="E1097" s="274"/>
      <c r="F1097" s="274"/>
      <c r="G1097" s="274"/>
      <c r="H1097" s="274"/>
      <c r="I1097" s="275"/>
      <c r="J1097" s="228"/>
      <c r="K1097" s="228"/>
      <c r="L1097" s="228"/>
      <c r="M1097" s="228"/>
      <c r="N1097" s="228"/>
      <c r="O1097" s="228"/>
      <c r="P1097" s="228">
        <f t="shared" ref="P1097:U1097" si="1129">P1098+P1105+P1136</f>
        <v>19242277.66</v>
      </c>
      <c r="Q1097" s="228">
        <f t="shared" si="1129"/>
        <v>4795700</v>
      </c>
      <c r="R1097" s="228">
        <f t="shared" si="1129"/>
        <v>4795700</v>
      </c>
      <c r="S1097" s="228">
        <f t="shared" si="1129"/>
        <v>60000</v>
      </c>
      <c r="T1097" s="228">
        <f t="shared" si="1129"/>
        <v>0</v>
      </c>
      <c r="U1097" s="228">
        <f t="shared" si="1129"/>
        <v>0</v>
      </c>
      <c r="V1097" s="228">
        <f t="shared" si="1127"/>
        <v>19302277.66</v>
      </c>
      <c r="W1097" s="228">
        <f t="shared" si="1127"/>
        <v>4795700</v>
      </c>
      <c r="X1097" s="228">
        <f t="shared" si="1127"/>
        <v>4795700</v>
      </c>
    </row>
    <row r="1098" spans="1:24" s="229" customFormat="1" hidden="1">
      <c r="A1098" s="230" t="s">
        <v>6</v>
      </c>
      <c r="B1098" s="232" t="s">
        <v>402</v>
      </c>
      <c r="C1098" s="232" t="s">
        <v>30</v>
      </c>
      <c r="D1098" s="232" t="s">
        <v>20</v>
      </c>
      <c r="E1098" s="232"/>
      <c r="F1098" s="232"/>
      <c r="G1098" s="232"/>
      <c r="H1098" s="232"/>
      <c r="I1098" s="233"/>
      <c r="J1098" s="234"/>
      <c r="K1098" s="234"/>
      <c r="L1098" s="234"/>
      <c r="M1098" s="234"/>
      <c r="N1098" s="234"/>
      <c r="O1098" s="234"/>
      <c r="P1098" s="234">
        <f>P1099</f>
        <v>4277700</v>
      </c>
      <c r="Q1098" s="234">
        <f t="shared" ref="Q1098:U1099" si="1130">Q1099</f>
        <v>4277700</v>
      </c>
      <c r="R1098" s="234">
        <f t="shared" si="1130"/>
        <v>4277700</v>
      </c>
      <c r="S1098" s="234">
        <f t="shared" si="1130"/>
        <v>0</v>
      </c>
      <c r="T1098" s="234">
        <f t="shared" si="1130"/>
        <v>0</v>
      </c>
      <c r="U1098" s="234">
        <f t="shared" si="1130"/>
        <v>0</v>
      </c>
      <c r="V1098" s="234">
        <f t="shared" si="1127"/>
        <v>4277700</v>
      </c>
      <c r="W1098" s="234">
        <f t="shared" si="1127"/>
        <v>4277700</v>
      </c>
      <c r="X1098" s="234">
        <f t="shared" si="1127"/>
        <v>4277700</v>
      </c>
    </row>
    <row r="1099" spans="1:24" s="229" customFormat="1" hidden="1">
      <c r="A1099" s="235" t="s">
        <v>83</v>
      </c>
      <c r="B1099" s="243" t="s">
        <v>402</v>
      </c>
      <c r="C1099" s="243" t="s">
        <v>30</v>
      </c>
      <c r="D1099" s="243" t="s">
        <v>20</v>
      </c>
      <c r="E1099" s="243" t="s">
        <v>82</v>
      </c>
      <c r="F1099" s="243" t="s">
        <v>70</v>
      </c>
      <c r="G1099" s="243" t="s">
        <v>148</v>
      </c>
      <c r="H1099" s="243" t="s">
        <v>149</v>
      </c>
      <c r="I1099" s="285"/>
      <c r="J1099" s="238"/>
      <c r="K1099" s="238"/>
      <c r="L1099" s="238"/>
      <c r="M1099" s="238"/>
      <c r="N1099" s="238"/>
      <c r="O1099" s="238"/>
      <c r="P1099" s="238">
        <f>P1100</f>
        <v>4277700</v>
      </c>
      <c r="Q1099" s="238">
        <f t="shared" si="1130"/>
        <v>4277700</v>
      </c>
      <c r="R1099" s="238">
        <f t="shared" si="1130"/>
        <v>4277700</v>
      </c>
      <c r="S1099" s="238">
        <f t="shared" si="1130"/>
        <v>0</v>
      </c>
      <c r="T1099" s="238">
        <f t="shared" si="1130"/>
        <v>0</v>
      </c>
      <c r="U1099" s="238">
        <f t="shared" si="1130"/>
        <v>0</v>
      </c>
      <c r="V1099" s="238">
        <f t="shared" si="1127"/>
        <v>4277700</v>
      </c>
      <c r="W1099" s="238">
        <f t="shared" si="1127"/>
        <v>4277700</v>
      </c>
      <c r="X1099" s="238">
        <f t="shared" si="1127"/>
        <v>4277700</v>
      </c>
    </row>
    <row r="1100" spans="1:24" s="229" customFormat="1" ht="25.5" hidden="1">
      <c r="A1100" s="300" t="s">
        <v>221</v>
      </c>
      <c r="B1100" s="243" t="s">
        <v>402</v>
      </c>
      <c r="C1100" s="243" t="s">
        <v>30</v>
      </c>
      <c r="D1100" s="243" t="s">
        <v>20</v>
      </c>
      <c r="E1100" s="243" t="s">
        <v>82</v>
      </c>
      <c r="F1100" s="243" t="s">
        <v>70</v>
      </c>
      <c r="G1100" s="243" t="s">
        <v>148</v>
      </c>
      <c r="H1100" s="243" t="s">
        <v>180</v>
      </c>
      <c r="I1100" s="285"/>
      <c r="J1100" s="238"/>
      <c r="K1100" s="238"/>
      <c r="L1100" s="238"/>
      <c r="M1100" s="238"/>
      <c r="N1100" s="238"/>
      <c r="O1100" s="238"/>
      <c r="P1100" s="238">
        <f>P1101+P1103</f>
        <v>4277700</v>
      </c>
      <c r="Q1100" s="238">
        <f t="shared" ref="Q1100:U1100" si="1131">Q1101+Q1103</f>
        <v>4277700</v>
      </c>
      <c r="R1100" s="238">
        <f t="shared" si="1131"/>
        <v>4277700</v>
      </c>
      <c r="S1100" s="238">
        <f t="shared" si="1131"/>
        <v>0</v>
      </c>
      <c r="T1100" s="238">
        <f t="shared" si="1131"/>
        <v>0</v>
      </c>
      <c r="U1100" s="238">
        <f t="shared" si="1131"/>
        <v>0</v>
      </c>
      <c r="V1100" s="238">
        <f t="shared" si="1127"/>
        <v>4277700</v>
      </c>
      <c r="W1100" s="238">
        <f t="shared" si="1127"/>
        <v>4277700</v>
      </c>
      <c r="X1100" s="238">
        <f t="shared" si="1127"/>
        <v>4277700</v>
      </c>
    </row>
    <row r="1101" spans="1:24" s="229" customFormat="1" ht="25.5" hidden="1">
      <c r="A1101" s="240" t="s">
        <v>260</v>
      </c>
      <c r="B1101" s="243" t="s">
        <v>402</v>
      </c>
      <c r="C1101" s="243" t="s">
        <v>30</v>
      </c>
      <c r="D1101" s="243" t="s">
        <v>20</v>
      </c>
      <c r="E1101" s="243" t="s">
        <v>82</v>
      </c>
      <c r="F1101" s="243" t="s">
        <v>70</v>
      </c>
      <c r="G1101" s="243" t="s">
        <v>148</v>
      </c>
      <c r="H1101" s="243" t="s">
        <v>180</v>
      </c>
      <c r="I1101" s="277" t="s">
        <v>94</v>
      </c>
      <c r="J1101" s="238"/>
      <c r="K1101" s="238"/>
      <c r="L1101" s="238"/>
      <c r="M1101" s="238"/>
      <c r="N1101" s="238"/>
      <c r="O1101" s="238"/>
      <c r="P1101" s="238">
        <f>P1102</f>
        <v>77700</v>
      </c>
      <c r="Q1101" s="238">
        <f t="shared" ref="Q1101:U1101" si="1132">Q1102</f>
        <v>77700</v>
      </c>
      <c r="R1101" s="238">
        <f t="shared" si="1132"/>
        <v>77700</v>
      </c>
      <c r="S1101" s="238">
        <f t="shared" si="1132"/>
        <v>0</v>
      </c>
      <c r="T1101" s="238">
        <f t="shared" si="1132"/>
        <v>0</v>
      </c>
      <c r="U1101" s="238">
        <f t="shared" si="1132"/>
        <v>0</v>
      </c>
      <c r="V1101" s="238">
        <f t="shared" si="1127"/>
        <v>77700</v>
      </c>
      <c r="W1101" s="238">
        <f t="shared" si="1127"/>
        <v>77700</v>
      </c>
      <c r="X1101" s="238">
        <f t="shared" si="1127"/>
        <v>77700</v>
      </c>
    </row>
    <row r="1102" spans="1:24" s="229" customFormat="1" ht="25.5" hidden="1">
      <c r="A1102" s="239" t="s">
        <v>98</v>
      </c>
      <c r="B1102" s="243" t="s">
        <v>402</v>
      </c>
      <c r="C1102" s="243" t="s">
        <v>30</v>
      </c>
      <c r="D1102" s="243" t="s">
        <v>20</v>
      </c>
      <c r="E1102" s="243" t="s">
        <v>82</v>
      </c>
      <c r="F1102" s="243" t="s">
        <v>70</v>
      </c>
      <c r="G1102" s="243" t="s">
        <v>148</v>
      </c>
      <c r="H1102" s="243" t="s">
        <v>180</v>
      </c>
      <c r="I1102" s="277" t="s">
        <v>95</v>
      </c>
      <c r="J1102" s="238"/>
      <c r="K1102" s="238"/>
      <c r="L1102" s="238"/>
      <c r="M1102" s="238"/>
      <c r="N1102" s="238"/>
      <c r="O1102" s="238"/>
      <c r="P1102" s="238">
        <v>77700</v>
      </c>
      <c r="Q1102" s="238">
        <v>77700</v>
      </c>
      <c r="R1102" s="238">
        <v>77700</v>
      </c>
      <c r="S1102" s="238"/>
      <c r="T1102" s="238"/>
      <c r="U1102" s="238"/>
      <c r="V1102" s="238">
        <f t="shared" si="1127"/>
        <v>77700</v>
      </c>
      <c r="W1102" s="238">
        <f t="shared" si="1127"/>
        <v>77700</v>
      </c>
      <c r="X1102" s="238">
        <f t="shared" si="1127"/>
        <v>77700</v>
      </c>
    </row>
    <row r="1103" spans="1:24" s="229" customFormat="1" hidden="1">
      <c r="A1103" s="235" t="s">
        <v>100</v>
      </c>
      <c r="B1103" s="243" t="s">
        <v>402</v>
      </c>
      <c r="C1103" s="243" t="s">
        <v>30</v>
      </c>
      <c r="D1103" s="243" t="s">
        <v>20</v>
      </c>
      <c r="E1103" s="243" t="s">
        <v>82</v>
      </c>
      <c r="F1103" s="243" t="s">
        <v>70</v>
      </c>
      <c r="G1103" s="243" t="s">
        <v>148</v>
      </c>
      <c r="H1103" s="243" t="s">
        <v>180</v>
      </c>
      <c r="I1103" s="285" t="s">
        <v>99</v>
      </c>
      <c r="J1103" s="238"/>
      <c r="K1103" s="238"/>
      <c r="L1103" s="238"/>
      <c r="M1103" s="238"/>
      <c r="N1103" s="238"/>
      <c r="O1103" s="238"/>
      <c r="P1103" s="238">
        <f>P1104</f>
        <v>4200000</v>
      </c>
      <c r="Q1103" s="238">
        <f t="shared" ref="Q1103:U1103" si="1133">Q1104</f>
        <v>4200000</v>
      </c>
      <c r="R1103" s="238">
        <f t="shared" si="1133"/>
        <v>4200000</v>
      </c>
      <c r="S1103" s="238">
        <f t="shared" si="1133"/>
        <v>0</v>
      </c>
      <c r="T1103" s="238">
        <f t="shared" si="1133"/>
        <v>0</v>
      </c>
      <c r="U1103" s="238">
        <f t="shared" si="1133"/>
        <v>0</v>
      </c>
      <c r="V1103" s="238">
        <f t="shared" si="1127"/>
        <v>4200000</v>
      </c>
      <c r="W1103" s="238">
        <f t="shared" si="1127"/>
        <v>4200000</v>
      </c>
      <c r="X1103" s="238">
        <f t="shared" si="1127"/>
        <v>4200000</v>
      </c>
    </row>
    <row r="1104" spans="1:24" s="229" customFormat="1" hidden="1">
      <c r="A1104" s="235" t="s">
        <v>253</v>
      </c>
      <c r="B1104" s="243" t="s">
        <v>402</v>
      </c>
      <c r="C1104" s="243" t="s">
        <v>30</v>
      </c>
      <c r="D1104" s="243" t="s">
        <v>20</v>
      </c>
      <c r="E1104" s="243" t="s">
        <v>82</v>
      </c>
      <c r="F1104" s="243" t="s">
        <v>70</v>
      </c>
      <c r="G1104" s="243" t="s">
        <v>148</v>
      </c>
      <c r="H1104" s="243" t="s">
        <v>180</v>
      </c>
      <c r="I1104" s="277" t="s">
        <v>252</v>
      </c>
      <c r="J1104" s="238"/>
      <c r="K1104" s="238"/>
      <c r="L1104" s="238"/>
      <c r="M1104" s="238"/>
      <c r="N1104" s="238"/>
      <c r="O1104" s="238"/>
      <c r="P1104" s="238">
        <v>4200000</v>
      </c>
      <c r="Q1104" s="238">
        <v>4200000</v>
      </c>
      <c r="R1104" s="238">
        <v>4200000</v>
      </c>
      <c r="S1104" s="238"/>
      <c r="T1104" s="238"/>
      <c r="U1104" s="238"/>
      <c r="V1104" s="238">
        <f t="shared" si="1127"/>
        <v>4200000</v>
      </c>
      <c r="W1104" s="238">
        <f t="shared" si="1127"/>
        <v>4200000</v>
      </c>
      <c r="X1104" s="238">
        <f t="shared" si="1127"/>
        <v>4200000</v>
      </c>
    </row>
    <row r="1105" spans="1:24" s="229" customFormat="1" hidden="1">
      <c r="A1105" s="230" t="s">
        <v>7</v>
      </c>
      <c r="B1105" s="232" t="s">
        <v>402</v>
      </c>
      <c r="C1105" s="232" t="s">
        <v>30</v>
      </c>
      <c r="D1105" s="232" t="s">
        <v>13</v>
      </c>
      <c r="E1105" s="232"/>
      <c r="F1105" s="232"/>
      <c r="G1105" s="232"/>
      <c r="H1105" s="227"/>
      <c r="I1105" s="237"/>
      <c r="J1105" s="234"/>
      <c r="K1105" s="234"/>
      <c r="L1105" s="234"/>
      <c r="M1105" s="234"/>
      <c r="N1105" s="234"/>
      <c r="O1105" s="234"/>
      <c r="P1105" s="234">
        <f>P1106+P1110+P1118</f>
        <v>14914577.66</v>
      </c>
      <c r="Q1105" s="234">
        <f t="shared" ref="Q1105:U1105" si="1134">Q1106+Q1110+Q1118</f>
        <v>468000</v>
      </c>
      <c r="R1105" s="234">
        <f t="shared" si="1134"/>
        <v>468000</v>
      </c>
      <c r="S1105" s="234">
        <f t="shared" si="1134"/>
        <v>60000</v>
      </c>
      <c r="T1105" s="234">
        <f t="shared" si="1134"/>
        <v>0</v>
      </c>
      <c r="U1105" s="234">
        <f t="shared" si="1134"/>
        <v>0</v>
      </c>
      <c r="V1105" s="234">
        <f t="shared" si="1127"/>
        <v>14974577.66</v>
      </c>
      <c r="W1105" s="234">
        <f t="shared" si="1127"/>
        <v>468000</v>
      </c>
      <c r="X1105" s="234">
        <f t="shared" si="1127"/>
        <v>468000</v>
      </c>
    </row>
    <row r="1106" spans="1:24" s="229" customFormat="1" ht="38.25" hidden="1">
      <c r="A1106" s="298" t="s">
        <v>286</v>
      </c>
      <c r="B1106" s="227" t="s">
        <v>402</v>
      </c>
      <c r="C1106" s="243" t="s">
        <v>30</v>
      </c>
      <c r="D1106" s="243" t="s">
        <v>13</v>
      </c>
      <c r="E1106" s="243" t="s">
        <v>3</v>
      </c>
      <c r="F1106" s="243" t="s">
        <v>70</v>
      </c>
      <c r="G1106" s="243" t="s">
        <v>148</v>
      </c>
      <c r="H1106" s="243" t="s">
        <v>149</v>
      </c>
      <c r="I1106" s="285"/>
      <c r="J1106" s="244"/>
      <c r="K1106" s="244"/>
      <c r="L1106" s="244"/>
      <c r="M1106" s="244"/>
      <c r="N1106" s="244"/>
      <c r="O1106" s="244"/>
      <c r="P1106" s="244">
        <f>P1107</f>
        <v>1108547.6600000001</v>
      </c>
      <c r="Q1106" s="244">
        <f t="shared" ref="Q1106:U1108" si="1135">Q1107</f>
        <v>200000</v>
      </c>
      <c r="R1106" s="244">
        <f t="shared" si="1135"/>
        <v>200000</v>
      </c>
      <c r="S1106" s="244">
        <f t="shared" si="1135"/>
        <v>0</v>
      </c>
      <c r="T1106" s="244">
        <f t="shared" si="1135"/>
        <v>0</v>
      </c>
      <c r="U1106" s="244">
        <f t="shared" si="1135"/>
        <v>0</v>
      </c>
      <c r="V1106" s="244">
        <f t="shared" ref="V1106:X1136" si="1136">P1106+S1106</f>
        <v>1108547.6600000001</v>
      </c>
      <c r="W1106" s="244">
        <f t="shared" si="1136"/>
        <v>200000</v>
      </c>
      <c r="X1106" s="244">
        <f t="shared" si="1136"/>
        <v>200000</v>
      </c>
    </row>
    <row r="1107" spans="1:24" s="229" customFormat="1" hidden="1">
      <c r="A1107" s="301" t="s">
        <v>385</v>
      </c>
      <c r="B1107" s="227" t="s">
        <v>402</v>
      </c>
      <c r="C1107" s="243" t="s">
        <v>30</v>
      </c>
      <c r="D1107" s="243" t="s">
        <v>13</v>
      </c>
      <c r="E1107" s="243" t="s">
        <v>3</v>
      </c>
      <c r="F1107" s="243" t="s">
        <v>70</v>
      </c>
      <c r="G1107" s="243" t="s">
        <v>148</v>
      </c>
      <c r="H1107" s="236" t="s">
        <v>386</v>
      </c>
      <c r="I1107" s="285"/>
      <c r="J1107" s="244"/>
      <c r="K1107" s="244"/>
      <c r="L1107" s="244"/>
      <c r="M1107" s="244"/>
      <c r="N1107" s="244"/>
      <c r="O1107" s="244"/>
      <c r="P1107" s="244">
        <f>P1108</f>
        <v>1108547.6600000001</v>
      </c>
      <c r="Q1107" s="244">
        <f t="shared" si="1135"/>
        <v>200000</v>
      </c>
      <c r="R1107" s="244">
        <f t="shared" si="1135"/>
        <v>200000</v>
      </c>
      <c r="S1107" s="244">
        <f t="shared" si="1135"/>
        <v>0</v>
      </c>
      <c r="T1107" s="244">
        <f t="shared" si="1135"/>
        <v>0</v>
      </c>
      <c r="U1107" s="244">
        <f t="shared" si="1135"/>
        <v>0</v>
      </c>
      <c r="V1107" s="244">
        <f t="shared" si="1136"/>
        <v>1108547.6600000001</v>
      </c>
      <c r="W1107" s="244">
        <f t="shared" si="1136"/>
        <v>200000</v>
      </c>
      <c r="X1107" s="244">
        <f t="shared" si="1136"/>
        <v>200000</v>
      </c>
    </row>
    <row r="1108" spans="1:24" s="229" customFormat="1" hidden="1">
      <c r="A1108" s="235" t="s">
        <v>100</v>
      </c>
      <c r="B1108" s="227" t="s">
        <v>402</v>
      </c>
      <c r="C1108" s="243" t="s">
        <v>30</v>
      </c>
      <c r="D1108" s="243" t="s">
        <v>13</v>
      </c>
      <c r="E1108" s="243" t="s">
        <v>3</v>
      </c>
      <c r="F1108" s="243" t="s">
        <v>70</v>
      </c>
      <c r="G1108" s="243" t="s">
        <v>148</v>
      </c>
      <c r="H1108" s="236" t="s">
        <v>386</v>
      </c>
      <c r="I1108" s="285" t="s">
        <v>99</v>
      </c>
      <c r="J1108" s="244"/>
      <c r="K1108" s="244"/>
      <c r="L1108" s="244"/>
      <c r="M1108" s="244"/>
      <c r="N1108" s="244"/>
      <c r="O1108" s="244"/>
      <c r="P1108" s="244">
        <f>P1109</f>
        <v>1108547.6600000001</v>
      </c>
      <c r="Q1108" s="244">
        <f t="shared" si="1135"/>
        <v>200000</v>
      </c>
      <c r="R1108" s="244">
        <f t="shared" si="1135"/>
        <v>200000</v>
      </c>
      <c r="S1108" s="244">
        <f t="shared" si="1135"/>
        <v>0</v>
      </c>
      <c r="T1108" s="244">
        <f t="shared" si="1135"/>
        <v>0</v>
      </c>
      <c r="U1108" s="244">
        <f t="shared" si="1135"/>
        <v>0</v>
      </c>
      <c r="V1108" s="244">
        <f t="shared" si="1136"/>
        <v>1108547.6600000001</v>
      </c>
      <c r="W1108" s="244">
        <f t="shared" si="1136"/>
        <v>200000</v>
      </c>
      <c r="X1108" s="244">
        <f t="shared" si="1136"/>
        <v>200000</v>
      </c>
    </row>
    <row r="1109" spans="1:24" s="229" customFormat="1" ht="25.5" hidden="1">
      <c r="A1109" s="235" t="s">
        <v>106</v>
      </c>
      <c r="B1109" s="227" t="s">
        <v>402</v>
      </c>
      <c r="C1109" s="243" t="s">
        <v>30</v>
      </c>
      <c r="D1109" s="243" t="s">
        <v>13</v>
      </c>
      <c r="E1109" s="243" t="s">
        <v>3</v>
      </c>
      <c r="F1109" s="243" t="s">
        <v>70</v>
      </c>
      <c r="G1109" s="243" t="s">
        <v>148</v>
      </c>
      <c r="H1109" s="236" t="s">
        <v>386</v>
      </c>
      <c r="I1109" s="285" t="s">
        <v>107</v>
      </c>
      <c r="J1109" s="244"/>
      <c r="K1109" s="244"/>
      <c r="L1109" s="244"/>
      <c r="M1109" s="244"/>
      <c r="N1109" s="244"/>
      <c r="O1109" s="244"/>
      <c r="P1109" s="244">
        <v>1108547.6600000001</v>
      </c>
      <c r="Q1109" s="244">
        <v>200000</v>
      </c>
      <c r="R1109" s="244">
        <v>200000</v>
      </c>
      <c r="S1109" s="244"/>
      <c r="T1109" s="244"/>
      <c r="U1109" s="244"/>
      <c r="V1109" s="244">
        <f t="shared" si="1136"/>
        <v>1108547.6600000001</v>
      </c>
      <c r="W1109" s="244">
        <f t="shared" si="1136"/>
        <v>200000</v>
      </c>
      <c r="X1109" s="244">
        <f t="shared" si="1136"/>
        <v>200000</v>
      </c>
    </row>
    <row r="1110" spans="1:24" s="229" customFormat="1" ht="38.25" hidden="1">
      <c r="A1110" s="235" t="s">
        <v>289</v>
      </c>
      <c r="B1110" s="227" t="s">
        <v>402</v>
      </c>
      <c r="C1110" s="243" t="s">
        <v>30</v>
      </c>
      <c r="D1110" s="243" t="s">
        <v>13</v>
      </c>
      <c r="E1110" s="227" t="s">
        <v>27</v>
      </c>
      <c r="F1110" s="227" t="s">
        <v>70</v>
      </c>
      <c r="G1110" s="227" t="s">
        <v>148</v>
      </c>
      <c r="H1110" s="227" t="s">
        <v>149</v>
      </c>
      <c r="I1110" s="237"/>
      <c r="J1110" s="238"/>
      <c r="K1110" s="238"/>
      <c r="L1110" s="238"/>
      <c r="M1110" s="238"/>
      <c r="N1110" s="238"/>
      <c r="O1110" s="238"/>
      <c r="P1110" s="238">
        <f>P1111</f>
        <v>13459680</v>
      </c>
      <c r="Q1110" s="238">
        <f t="shared" ref="Q1110:U1110" si="1137">Q1111</f>
        <v>0</v>
      </c>
      <c r="R1110" s="238">
        <f t="shared" si="1137"/>
        <v>0</v>
      </c>
      <c r="S1110" s="238">
        <f t="shared" si="1137"/>
        <v>0</v>
      </c>
      <c r="T1110" s="238">
        <f t="shared" si="1137"/>
        <v>0</v>
      </c>
      <c r="U1110" s="238">
        <f t="shared" si="1137"/>
        <v>0</v>
      </c>
      <c r="V1110" s="238">
        <f t="shared" si="1136"/>
        <v>13459680</v>
      </c>
      <c r="W1110" s="238">
        <f t="shared" si="1136"/>
        <v>0</v>
      </c>
      <c r="X1110" s="238">
        <f t="shared" si="1136"/>
        <v>0</v>
      </c>
    </row>
    <row r="1111" spans="1:24" s="229" customFormat="1" hidden="1">
      <c r="A1111" s="268" t="s">
        <v>215</v>
      </c>
      <c r="B1111" s="227" t="s">
        <v>402</v>
      </c>
      <c r="C1111" s="243" t="s">
        <v>30</v>
      </c>
      <c r="D1111" s="243" t="s">
        <v>13</v>
      </c>
      <c r="E1111" s="227" t="s">
        <v>27</v>
      </c>
      <c r="F1111" s="227" t="s">
        <v>127</v>
      </c>
      <c r="G1111" s="227" t="s">
        <v>148</v>
      </c>
      <c r="H1111" s="227" t="s">
        <v>149</v>
      </c>
      <c r="I1111" s="237"/>
      <c r="J1111" s="238"/>
      <c r="K1111" s="238"/>
      <c r="L1111" s="238"/>
      <c r="M1111" s="238"/>
      <c r="N1111" s="238"/>
      <c r="O1111" s="238"/>
      <c r="P1111" s="238">
        <f>P1112+P1115</f>
        <v>13459680</v>
      </c>
      <c r="Q1111" s="238">
        <f t="shared" ref="Q1111:U1111" si="1138">Q1112+Q1115</f>
        <v>0</v>
      </c>
      <c r="R1111" s="238">
        <f t="shared" si="1138"/>
        <v>0</v>
      </c>
      <c r="S1111" s="238">
        <f t="shared" si="1138"/>
        <v>0</v>
      </c>
      <c r="T1111" s="238">
        <f t="shared" si="1138"/>
        <v>0</v>
      </c>
      <c r="U1111" s="238">
        <f t="shared" si="1138"/>
        <v>0</v>
      </c>
      <c r="V1111" s="238">
        <f t="shared" si="1136"/>
        <v>13459680</v>
      </c>
      <c r="W1111" s="238">
        <f t="shared" si="1136"/>
        <v>0</v>
      </c>
      <c r="X1111" s="238">
        <f t="shared" si="1136"/>
        <v>0</v>
      </c>
    </row>
    <row r="1112" spans="1:24" s="229" customFormat="1" ht="66.75" hidden="1" customHeight="1">
      <c r="A1112" s="297" t="s">
        <v>255</v>
      </c>
      <c r="B1112" s="227" t="s">
        <v>402</v>
      </c>
      <c r="C1112" s="243" t="s">
        <v>30</v>
      </c>
      <c r="D1112" s="243" t="s">
        <v>13</v>
      </c>
      <c r="E1112" s="236" t="s">
        <v>27</v>
      </c>
      <c r="F1112" s="236" t="s">
        <v>127</v>
      </c>
      <c r="G1112" s="236" t="s">
        <v>256</v>
      </c>
      <c r="H1112" s="236" t="s">
        <v>257</v>
      </c>
      <c r="I1112" s="277"/>
      <c r="J1112" s="238"/>
      <c r="K1112" s="238"/>
      <c r="L1112" s="238"/>
      <c r="M1112" s="238"/>
      <c r="N1112" s="238"/>
      <c r="O1112" s="238"/>
      <c r="P1112" s="238">
        <f>P1113</f>
        <v>13190486.4</v>
      </c>
      <c r="Q1112" s="238">
        <f t="shared" ref="Q1112:U1113" si="1139">Q1113</f>
        <v>0</v>
      </c>
      <c r="R1112" s="238">
        <f t="shared" si="1139"/>
        <v>0</v>
      </c>
      <c r="S1112" s="238">
        <f t="shared" si="1139"/>
        <v>0</v>
      </c>
      <c r="T1112" s="238">
        <f t="shared" si="1139"/>
        <v>0</v>
      </c>
      <c r="U1112" s="238">
        <f t="shared" si="1139"/>
        <v>0</v>
      </c>
      <c r="V1112" s="238">
        <f t="shared" si="1136"/>
        <v>13190486.4</v>
      </c>
      <c r="W1112" s="238">
        <f t="shared" si="1136"/>
        <v>0</v>
      </c>
      <c r="X1112" s="238">
        <f t="shared" si="1136"/>
        <v>0</v>
      </c>
    </row>
    <row r="1113" spans="1:24" s="229" customFormat="1" hidden="1">
      <c r="A1113" s="235" t="s">
        <v>100</v>
      </c>
      <c r="B1113" s="227" t="s">
        <v>402</v>
      </c>
      <c r="C1113" s="243" t="s">
        <v>30</v>
      </c>
      <c r="D1113" s="243" t="s">
        <v>13</v>
      </c>
      <c r="E1113" s="236" t="s">
        <v>27</v>
      </c>
      <c r="F1113" s="236" t="s">
        <v>127</v>
      </c>
      <c r="G1113" s="236" t="s">
        <v>256</v>
      </c>
      <c r="H1113" s="236" t="s">
        <v>257</v>
      </c>
      <c r="I1113" s="277" t="s">
        <v>99</v>
      </c>
      <c r="J1113" s="238"/>
      <c r="K1113" s="238"/>
      <c r="L1113" s="238"/>
      <c r="M1113" s="238"/>
      <c r="N1113" s="238"/>
      <c r="O1113" s="238"/>
      <c r="P1113" s="238">
        <f>P1114</f>
        <v>13190486.4</v>
      </c>
      <c r="Q1113" s="238">
        <f t="shared" si="1139"/>
        <v>0</v>
      </c>
      <c r="R1113" s="238">
        <f t="shared" si="1139"/>
        <v>0</v>
      </c>
      <c r="S1113" s="238">
        <f t="shared" si="1139"/>
        <v>0</v>
      </c>
      <c r="T1113" s="238">
        <f t="shared" si="1139"/>
        <v>0</v>
      </c>
      <c r="U1113" s="238">
        <f t="shared" si="1139"/>
        <v>0</v>
      </c>
      <c r="V1113" s="238">
        <f t="shared" si="1136"/>
        <v>13190486.4</v>
      </c>
      <c r="W1113" s="238">
        <f t="shared" si="1136"/>
        <v>0</v>
      </c>
      <c r="X1113" s="238">
        <f t="shared" si="1136"/>
        <v>0</v>
      </c>
    </row>
    <row r="1114" spans="1:24" s="229" customFormat="1" ht="25.5" hidden="1">
      <c r="A1114" s="235" t="s">
        <v>106</v>
      </c>
      <c r="B1114" s="227" t="s">
        <v>402</v>
      </c>
      <c r="C1114" s="243" t="s">
        <v>30</v>
      </c>
      <c r="D1114" s="243" t="s">
        <v>13</v>
      </c>
      <c r="E1114" s="236" t="s">
        <v>27</v>
      </c>
      <c r="F1114" s="236" t="s">
        <v>127</v>
      </c>
      <c r="G1114" s="236" t="s">
        <v>256</v>
      </c>
      <c r="H1114" s="236" t="s">
        <v>257</v>
      </c>
      <c r="I1114" s="277" t="s">
        <v>107</v>
      </c>
      <c r="J1114" s="238"/>
      <c r="K1114" s="238"/>
      <c r="L1114" s="238"/>
      <c r="M1114" s="238"/>
      <c r="N1114" s="238"/>
      <c r="O1114" s="238"/>
      <c r="P1114" s="238">
        <v>13190486.4</v>
      </c>
      <c r="Q1114" s="238">
        <v>0</v>
      </c>
      <c r="R1114" s="238">
        <v>0</v>
      </c>
      <c r="S1114" s="238"/>
      <c r="T1114" s="238"/>
      <c r="U1114" s="238"/>
      <c r="V1114" s="238">
        <f t="shared" si="1136"/>
        <v>13190486.4</v>
      </c>
      <c r="W1114" s="238">
        <f t="shared" si="1136"/>
        <v>0</v>
      </c>
      <c r="X1114" s="238">
        <f t="shared" si="1136"/>
        <v>0</v>
      </c>
    </row>
    <row r="1115" spans="1:24" s="229" customFormat="1" ht="56.25" hidden="1" customHeight="1">
      <c r="A1115" s="297" t="s">
        <v>258</v>
      </c>
      <c r="B1115" s="227" t="s">
        <v>402</v>
      </c>
      <c r="C1115" s="243" t="s">
        <v>30</v>
      </c>
      <c r="D1115" s="243" t="s">
        <v>13</v>
      </c>
      <c r="E1115" s="236" t="s">
        <v>27</v>
      </c>
      <c r="F1115" s="236" t="s">
        <v>127</v>
      </c>
      <c r="G1115" s="236" t="s">
        <v>256</v>
      </c>
      <c r="H1115" s="236" t="s">
        <v>259</v>
      </c>
      <c r="I1115" s="277"/>
      <c r="J1115" s="238"/>
      <c r="K1115" s="238"/>
      <c r="L1115" s="238"/>
      <c r="M1115" s="238"/>
      <c r="N1115" s="238"/>
      <c r="O1115" s="238"/>
      <c r="P1115" s="238">
        <f>P1116</f>
        <v>269193.59999999998</v>
      </c>
      <c r="Q1115" s="238">
        <f t="shared" ref="Q1115:U1116" si="1140">Q1116</f>
        <v>0</v>
      </c>
      <c r="R1115" s="238">
        <f t="shared" si="1140"/>
        <v>0</v>
      </c>
      <c r="S1115" s="238">
        <f t="shared" si="1140"/>
        <v>0</v>
      </c>
      <c r="T1115" s="238">
        <f t="shared" si="1140"/>
        <v>0</v>
      </c>
      <c r="U1115" s="238">
        <f t="shared" si="1140"/>
        <v>0</v>
      </c>
      <c r="V1115" s="238">
        <f t="shared" si="1136"/>
        <v>269193.59999999998</v>
      </c>
      <c r="W1115" s="238">
        <f t="shared" si="1136"/>
        <v>0</v>
      </c>
      <c r="X1115" s="238">
        <f t="shared" si="1136"/>
        <v>0</v>
      </c>
    </row>
    <row r="1116" spans="1:24" s="229" customFormat="1" hidden="1">
      <c r="A1116" s="235" t="s">
        <v>100</v>
      </c>
      <c r="B1116" s="227" t="s">
        <v>402</v>
      </c>
      <c r="C1116" s="243" t="s">
        <v>30</v>
      </c>
      <c r="D1116" s="243" t="s">
        <v>13</v>
      </c>
      <c r="E1116" s="236" t="s">
        <v>27</v>
      </c>
      <c r="F1116" s="236" t="s">
        <v>127</v>
      </c>
      <c r="G1116" s="236" t="s">
        <v>256</v>
      </c>
      <c r="H1116" s="236" t="s">
        <v>259</v>
      </c>
      <c r="I1116" s="277" t="s">
        <v>99</v>
      </c>
      <c r="J1116" s="238"/>
      <c r="K1116" s="238"/>
      <c r="L1116" s="238"/>
      <c r="M1116" s="238"/>
      <c r="N1116" s="238"/>
      <c r="O1116" s="238"/>
      <c r="P1116" s="238">
        <f>P1117</f>
        <v>269193.59999999998</v>
      </c>
      <c r="Q1116" s="238">
        <f t="shared" si="1140"/>
        <v>0</v>
      </c>
      <c r="R1116" s="238">
        <f t="shared" si="1140"/>
        <v>0</v>
      </c>
      <c r="S1116" s="238">
        <f t="shared" si="1140"/>
        <v>0</v>
      </c>
      <c r="T1116" s="238">
        <f t="shared" si="1140"/>
        <v>0</v>
      </c>
      <c r="U1116" s="238">
        <f t="shared" si="1140"/>
        <v>0</v>
      </c>
      <c r="V1116" s="238">
        <f t="shared" si="1136"/>
        <v>269193.59999999998</v>
      </c>
      <c r="W1116" s="238">
        <f t="shared" si="1136"/>
        <v>0</v>
      </c>
      <c r="X1116" s="238">
        <f t="shared" si="1136"/>
        <v>0</v>
      </c>
    </row>
    <row r="1117" spans="1:24" s="229" customFormat="1" ht="25.5" hidden="1">
      <c r="A1117" s="235" t="s">
        <v>106</v>
      </c>
      <c r="B1117" s="227" t="s">
        <v>402</v>
      </c>
      <c r="C1117" s="243" t="s">
        <v>30</v>
      </c>
      <c r="D1117" s="243" t="s">
        <v>13</v>
      </c>
      <c r="E1117" s="236" t="s">
        <v>27</v>
      </c>
      <c r="F1117" s="236" t="s">
        <v>127</v>
      </c>
      <c r="G1117" s="236" t="s">
        <v>256</v>
      </c>
      <c r="H1117" s="236" t="s">
        <v>259</v>
      </c>
      <c r="I1117" s="277" t="s">
        <v>107</v>
      </c>
      <c r="J1117" s="238"/>
      <c r="K1117" s="238"/>
      <c r="L1117" s="238"/>
      <c r="M1117" s="238"/>
      <c r="N1117" s="238"/>
      <c r="O1117" s="238"/>
      <c r="P1117" s="238">
        <v>269193.59999999998</v>
      </c>
      <c r="Q1117" s="238">
        <v>0</v>
      </c>
      <c r="R1117" s="238">
        <v>0</v>
      </c>
      <c r="S1117" s="238"/>
      <c r="T1117" s="238"/>
      <c r="U1117" s="238"/>
      <c r="V1117" s="238">
        <f t="shared" si="1136"/>
        <v>269193.59999999998</v>
      </c>
      <c r="W1117" s="238">
        <f t="shared" si="1136"/>
        <v>0</v>
      </c>
      <c r="X1117" s="238">
        <f t="shared" si="1136"/>
        <v>0</v>
      </c>
    </row>
    <row r="1118" spans="1:24" s="229" customFormat="1" hidden="1">
      <c r="A1118" s="235" t="s">
        <v>83</v>
      </c>
      <c r="B1118" s="227" t="s">
        <v>402</v>
      </c>
      <c r="C1118" s="227" t="s">
        <v>30</v>
      </c>
      <c r="D1118" s="227" t="s">
        <v>13</v>
      </c>
      <c r="E1118" s="227" t="s">
        <v>82</v>
      </c>
      <c r="F1118" s="227" t="s">
        <v>70</v>
      </c>
      <c r="G1118" s="227" t="s">
        <v>148</v>
      </c>
      <c r="H1118" s="227" t="s">
        <v>149</v>
      </c>
      <c r="I1118" s="237"/>
      <c r="J1118" s="238"/>
      <c r="K1118" s="238"/>
      <c r="L1118" s="238"/>
      <c r="M1118" s="238"/>
      <c r="N1118" s="238"/>
      <c r="O1118" s="238"/>
      <c r="P1118" s="238">
        <f>P1119+P1122+P1125+P1128+P1133</f>
        <v>346350</v>
      </c>
      <c r="Q1118" s="238">
        <f t="shared" ref="Q1118:U1118" si="1141">Q1119+Q1122+Q1125+Q1128+Q1133</f>
        <v>268000</v>
      </c>
      <c r="R1118" s="238">
        <f t="shared" si="1141"/>
        <v>268000</v>
      </c>
      <c r="S1118" s="238">
        <f t="shared" si="1141"/>
        <v>60000</v>
      </c>
      <c r="T1118" s="238">
        <f t="shared" si="1141"/>
        <v>0</v>
      </c>
      <c r="U1118" s="238">
        <f t="shared" si="1141"/>
        <v>0</v>
      </c>
      <c r="V1118" s="238">
        <f t="shared" si="1136"/>
        <v>406350</v>
      </c>
      <c r="W1118" s="238">
        <f t="shared" si="1136"/>
        <v>268000</v>
      </c>
      <c r="X1118" s="238">
        <f t="shared" si="1136"/>
        <v>268000</v>
      </c>
    </row>
    <row r="1119" spans="1:24" s="229" customFormat="1" hidden="1">
      <c r="A1119" s="235" t="s">
        <v>332</v>
      </c>
      <c r="B1119" s="227" t="s">
        <v>402</v>
      </c>
      <c r="C1119" s="227" t="s">
        <v>30</v>
      </c>
      <c r="D1119" s="227" t="s">
        <v>13</v>
      </c>
      <c r="E1119" s="227" t="s">
        <v>82</v>
      </c>
      <c r="F1119" s="227" t="s">
        <v>70</v>
      </c>
      <c r="G1119" s="227" t="s">
        <v>148</v>
      </c>
      <c r="H1119" s="227" t="s">
        <v>185</v>
      </c>
      <c r="I1119" s="237"/>
      <c r="J1119" s="238"/>
      <c r="K1119" s="238"/>
      <c r="L1119" s="238"/>
      <c r="M1119" s="238"/>
      <c r="N1119" s="238"/>
      <c r="O1119" s="238"/>
      <c r="P1119" s="238">
        <f>P1120</f>
        <v>0</v>
      </c>
      <c r="Q1119" s="238">
        <f t="shared" ref="Q1119:U1120" si="1142">Q1120</f>
        <v>0</v>
      </c>
      <c r="R1119" s="238">
        <f t="shared" si="1142"/>
        <v>0</v>
      </c>
      <c r="S1119" s="238">
        <f t="shared" si="1142"/>
        <v>60000</v>
      </c>
      <c r="T1119" s="238">
        <f t="shared" si="1142"/>
        <v>0</v>
      </c>
      <c r="U1119" s="238">
        <f t="shared" si="1142"/>
        <v>0</v>
      </c>
      <c r="V1119" s="238">
        <f t="shared" si="1136"/>
        <v>60000</v>
      </c>
      <c r="W1119" s="238">
        <f t="shared" si="1136"/>
        <v>0</v>
      </c>
      <c r="X1119" s="238">
        <f t="shared" si="1136"/>
        <v>0</v>
      </c>
    </row>
    <row r="1120" spans="1:24" s="229" customFormat="1" hidden="1">
      <c r="A1120" s="235" t="s">
        <v>100</v>
      </c>
      <c r="B1120" s="227" t="s">
        <v>402</v>
      </c>
      <c r="C1120" s="227" t="s">
        <v>30</v>
      </c>
      <c r="D1120" s="227" t="s">
        <v>13</v>
      </c>
      <c r="E1120" s="227" t="s">
        <v>82</v>
      </c>
      <c r="F1120" s="227" t="s">
        <v>70</v>
      </c>
      <c r="G1120" s="227" t="s">
        <v>148</v>
      </c>
      <c r="H1120" s="227" t="s">
        <v>185</v>
      </c>
      <c r="I1120" s="237" t="s">
        <v>99</v>
      </c>
      <c r="J1120" s="238"/>
      <c r="K1120" s="238"/>
      <c r="L1120" s="238"/>
      <c r="M1120" s="238"/>
      <c r="N1120" s="238"/>
      <c r="O1120" s="238"/>
      <c r="P1120" s="238">
        <f>P1121</f>
        <v>0</v>
      </c>
      <c r="Q1120" s="238">
        <f t="shared" si="1142"/>
        <v>0</v>
      </c>
      <c r="R1120" s="238">
        <f t="shared" si="1142"/>
        <v>0</v>
      </c>
      <c r="S1120" s="238">
        <f t="shared" si="1142"/>
        <v>60000</v>
      </c>
      <c r="T1120" s="238">
        <f t="shared" si="1142"/>
        <v>0</v>
      </c>
      <c r="U1120" s="238">
        <f t="shared" si="1142"/>
        <v>0</v>
      </c>
      <c r="V1120" s="238">
        <f t="shared" si="1136"/>
        <v>60000</v>
      </c>
      <c r="W1120" s="238">
        <f t="shared" si="1136"/>
        <v>0</v>
      </c>
      <c r="X1120" s="238">
        <f t="shared" si="1136"/>
        <v>0</v>
      </c>
    </row>
    <row r="1121" spans="1:24" s="229" customFormat="1" hidden="1">
      <c r="A1121" s="239" t="s">
        <v>117</v>
      </c>
      <c r="B1121" s="227" t="s">
        <v>402</v>
      </c>
      <c r="C1121" s="227" t="s">
        <v>30</v>
      </c>
      <c r="D1121" s="227" t="s">
        <v>13</v>
      </c>
      <c r="E1121" s="227" t="s">
        <v>82</v>
      </c>
      <c r="F1121" s="227" t="s">
        <v>70</v>
      </c>
      <c r="G1121" s="227" t="s">
        <v>148</v>
      </c>
      <c r="H1121" s="227" t="s">
        <v>185</v>
      </c>
      <c r="I1121" s="237" t="s">
        <v>116</v>
      </c>
      <c r="J1121" s="238"/>
      <c r="K1121" s="238"/>
      <c r="L1121" s="238"/>
      <c r="M1121" s="238"/>
      <c r="N1121" s="238"/>
      <c r="O1121" s="238"/>
      <c r="P1121" s="238"/>
      <c r="Q1121" s="238"/>
      <c r="R1121" s="238"/>
      <c r="S1121" s="238">
        <v>60000</v>
      </c>
      <c r="T1121" s="238"/>
      <c r="U1121" s="238"/>
      <c r="V1121" s="238">
        <f t="shared" si="1136"/>
        <v>60000</v>
      </c>
      <c r="W1121" s="238">
        <f t="shared" si="1136"/>
        <v>0</v>
      </c>
      <c r="X1121" s="238">
        <f t="shared" si="1136"/>
        <v>0</v>
      </c>
    </row>
    <row r="1122" spans="1:24" s="229" customFormat="1" hidden="1">
      <c r="A1122" s="235" t="s">
        <v>108</v>
      </c>
      <c r="B1122" s="227" t="s">
        <v>402</v>
      </c>
      <c r="C1122" s="227" t="s">
        <v>30</v>
      </c>
      <c r="D1122" s="227" t="s">
        <v>13</v>
      </c>
      <c r="E1122" s="227" t="s">
        <v>82</v>
      </c>
      <c r="F1122" s="227" t="s">
        <v>70</v>
      </c>
      <c r="G1122" s="227" t="s">
        <v>148</v>
      </c>
      <c r="H1122" s="227" t="s">
        <v>181</v>
      </c>
      <c r="I1122" s="237"/>
      <c r="J1122" s="238"/>
      <c r="K1122" s="238"/>
      <c r="L1122" s="238"/>
      <c r="M1122" s="238"/>
      <c r="N1122" s="238"/>
      <c r="O1122" s="238"/>
      <c r="P1122" s="238">
        <f>P1123</f>
        <v>80000</v>
      </c>
      <c r="Q1122" s="238">
        <f t="shared" ref="Q1122:U1123" si="1143">Q1123</f>
        <v>80000</v>
      </c>
      <c r="R1122" s="238">
        <f t="shared" si="1143"/>
        <v>80000</v>
      </c>
      <c r="S1122" s="238">
        <f t="shared" si="1143"/>
        <v>0</v>
      </c>
      <c r="T1122" s="238">
        <f t="shared" si="1143"/>
        <v>0</v>
      </c>
      <c r="U1122" s="238">
        <f t="shared" si="1143"/>
        <v>0</v>
      </c>
      <c r="V1122" s="238">
        <f t="shared" si="1136"/>
        <v>80000</v>
      </c>
      <c r="W1122" s="238">
        <f t="shared" si="1136"/>
        <v>80000</v>
      </c>
      <c r="X1122" s="238">
        <f t="shared" si="1136"/>
        <v>80000</v>
      </c>
    </row>
    <row r="1123" spans="1:24" s="229" customFormat="1" hidden="1">
      <c r="A1123" s="235" t="s">
        <v>100</v>
      </c>
      <c r="B1123" s="227" t="s">
        <v>402</v>
      </c>
      <c r="C1123" s="227" t="s">
        <v>30</v>
      </c>
      <c r="D1123" s="227" t="s">
        <v>13</v>
      </c>
      <c r="E1123" s="227" t="s">
        <v>82</v>
      </c>
      <c r="F1123" s="227" t="s">
        <v>70</v>
      </c>
      <c r="G1123" s="227" t="s">
        <v>148</v>
      </c>
      <c r="H1123" s="227" t="s">
        <v>181</v>
      </c>
      <c r="I1123" s="237" t="s">
        <v>99</v>
      </c>
      <c r="J1123" s="238"/>
      <c r="K1123" s="238"/>
      <c r="L1123" s="238"/>
      <c r="M1123" s="238"/>
      <c r="N1123" s="238"/>
      <c r="O1123" s="238"/>
      <c r="P1123" s="238">
        <f>P1124</f>
        <v>80000</v>
      </c>
      <c r="Q1123" s="238">
        <f t="shared" si="1143"/>
        <v>80000</v>
      </c>
      <c r="R1123" s="238">
        <f t="shared" si="1143"/>
        <v>80000</v>
      </c>
      <c r="S1123" s="238">
        <f t="shared" si="1143"/>
        <v>0</v>
      </c>
      <c r="T1123" s="238">
        <f t="shared" si="1143"/>
        <v>0</v>
      </c>
      <c r="U1123" s="238">
        <f t="shared" si="1143"/>
        <v>0</v>
      </c>
      <c r="V1123" s="238">
        <f t="shared" si="1136"/>
        <v>80000</v>
      </c>
      <c r="W1123" s="238">
        <f t="shared" si="1136"/>
        <v>80000</v>
      </c>
      <c r="X1123" s="238">
        <f t="shared" si="1136"/>
        <v>80000</v>
      </c>
    </row>
    <row r="1124" spans="1:24" s="229" customFormat="1" hidden="1">
      <c r="A1124" s="239" t="s">
        <v>117</v>
      </c>
      <c r="B1124" s="227" t="s">
        <v>402</v>
      </c>
      <c r="C1124" s="227" t="s">
        <v>30</v>
      </c>
      <c r="D1124" s="227" t="s">
        <v>13</v>
      </c>
      <c r="E1124" s="227" t="s">
        <v>82</v>
      </c>
      <c r="F1124" s="227" t="s">
        <v>70</v>
      </c>
      <c r="G1124" s="227" t="s">
        <v>148</v>
      </c>
      <c r="H1124" s="227" t="s">
        <v>181</v>
      </c>
      <c r="I1124" s="237" t="s">
        <v>116</v>
      </c>
      <c r="J1124" s="238"/>
      <c r="K1124" s="238"/>
      <c r="L1124" s="238"/>
      <c r="M1124" s="238"/>
      <c r="N1124" s="238"/>
      <c r="O1124" s="238"/>
      <c r="P1124" s="238">
        <v>80000</v>
      </c>
      <c r="Q1124" s="238">
        <v>80000</v>
      </c>
      <c r="R1124" s="238">
        <v>80000</v>
      </c>
      <c r="S1124" s="238"/>
      <c r="T1124" s="238"/>
      <c r="U1124" s="238"/>
      <c r="V1124" s="238">
        <f t="shared" si="1136"/>
        <v>80000</v>
      </c>
      <c r="W1124" s="238">
        <f t="shared" si="1136"/>
        <v>80000</v>
      </c>
      <c r="X1124" s="238">
        <f t="shared" si="1136"/>
        <v>80000</v>
      </c>
    </row>
    <row r="1125" spans="1:24" s="229" customFormat="1" ht="25.5" hidden="1">
      <c r="A1125" s="239" t="s">
        <v>399</v>
      </c>
      <c r="B1125" s="227" t="s">
        <v>402</v>
      </c>
      <c r="C1125" s="227" t="s">
        <v>30</v>
      </c>
      <c r="D1125" s="227" t="s">
        <v>13</v>
      </c>
      <c r="E1125" s="227" t="s">
        <v>82</v>
      </c>
      <c r="F1125" s="227" t="s">
        <v>70</v>
      </c>
      <c r="G1125" s="227" t="s">
        <v>148</v>
      </c>
      <c r="H1125" s="227" t="s">
        <v>182</v>
      </c>
      <c r="I1125" s="237"/>
      <c r="J1125" s="238"/>
      <c r="K1125" s="238"/>
      <c r="L1125" s="238"/>
      <c r="M1125" s="238"/>
      <c r="N1125" s="238"/>
      <c r="O1125" s="238"/>
      <c r="P1125" s="238">
        <f>P1126</f>
        <v>138000</v>
      </c>
      <c r="Q1125" s="238">
        <f t="shared" ref="Q1125:U1126" si="1144">Q1126</f>
        <v>138000</v>
      </c>
      <c r="R1125" s="238">
        <f t="shared" si="1144"/>
        <v>138000</v>
      </c>
      <c r="S1125" s="238">
        <f t="shared" si="1144"/>
        <v>0</v>
      </c>
      <c r="T1125" s="238">
        <f t="shared" si="1144"/>
        <v>0</v>
      </c>
      <c r="U1125" s="238">
        <f t="shared" si="1144"/>
        <v>0</v>
      </c>
      <c r="V1125" s="238">
        <f t="shared" si="1136"/>
        <v>138000</v>
      </c>
      <c r="W1125" s="238">
        <f t="shared" si="1136"/>
        <v>138000</v>
      </c>
      <c r="X1125" s="238">
        <f t="shared" si="1136"/>
        <v>138000</v>
      </c>
    </row>
    <row r="1126" spans="1:24" s="229" customFormat="1" hidden="1">
      <c r="A1126" s="235" t="s">
        <v>100</v>
      </c>
      <c r="B1126" s="227" t="s">
        <v>402</v>
      </c>
      <c r="C1126" s="227" t="s">
        <v>30</v>
      </c>
      <c r="D1126" s="227" t="s">
        <v>13</v>
      </c>
      <c r="E1126" s="227" t="s">
        <v>82</v>
      </c>
      <c r="F1126" s="227" t="s">
        <v>70</v>
      </c>
      <c r="G1126" s="227" t="s">
        <v>148</v>
      </c>
      <c r="H1126" s="227" t="s">
        <v>182</v>
      </c>
      <c r="I1126" s="237" t="s">
        <v>99</v>
      </c>
      <c r="J1126" s="238"/>
      <c r="K1126" s="238"/>
      <c r="L1126" s="238"/>
      <c r="M1126" s="238"/>
      <c r="N1126" s="238"/>
      <c r="O1126" s="238"/>
      <c r="P1126" s="238">
        <f>P1127</f>
        <v>138000</v>
      </c>
      <c r="Q1126" s="238">
        <f t="shared" si="1144"/>
        <v>138000</v>
      </c>
      <c r="R1126" s="238">
        <f t="shared" si="1144"/>
        <v>138000</v>
      </c>
      <c r="S1126" s="238">
        <f t="shared" si="1144"/>
        <v>0</v>
      </c>
      <c r="T1126" s="238">
        <f t="shared" si="1144"/>
        <v>0</v>
      </c>
      <c r="U1126" s="238">
        <f t="shared" si="1144"/>
        <v>0</v>
      </c>
      <c r="V1126" s="238">
        <f t="shared" si="1136"/>
        <v>138000</v>
      </c>
      <c r="W1126" s="238">
        <f t="shared" si="1136"/>
        <v>138000</v>
      </c>
      <c r="X1126" s="238">
        <f t="shared" si="1136"/>
        <v>138000</v>
      </c>
    </row>
    <row r="1127" spans="1:24" s="229" customFormat="1" hidden="1">
      <c r="A1127" s="239" t="s">
        <v>117</v>
      </c>
      <c r="B1127" s="227" t="s">
        <v>402</v>
      </c>
      <c r="C1127" s="227" t="s">
        <v>30</v>
      </c>
      <c r="D1127" s="227" t="s">
        <v>13</v>
      </c>
      <c r="E1127" s="227" t="s">
        <v>82</v>
      </c>
      <c r="F1127" s="227" t="s">
        <v>70</v>
      </c>
      <c r="G1127" s="227" t="s">
        <v>148</v>
      </c>
      <c r="H1127" s="227" t="s">
        <v>182</v>
      </c>
      <c r="I1127" s="237" t="s">
        <v>116</v>
      </c>
      <c r="J1127" s="238"/>
      <c r="K1127" s="238"/>
      <c r="L1127" s="238"/>
      <c r="M1127" s="238"/>
      <c r="N1127" s="238"/>
      <c r="O1127" s="238"/>
      <c r="P1127" s="238">
        <v>138000</v>
      </c>
      <c r="Q1127" s="238">
        <v>138000</v>
      </c>
      <c r="R1127" s="238">
        <v>138000</v>
      </c>
      <c r="S1127" s="238"/>
      <c r="T1127" s="238"/>
      <c r="U1127" s="238"/>
      <c r="V1127" s="238">
        <f t="shared" si="1136"/>
        <v>138000</v>
      </c>
      <c r="W1127" s="238">
        <f t="shared" si="1136"/>
        <v>138000</v>
      </c>
      <c r="X1127" s="238">
        <f t="shared" si="1136"/>
        <v>138000</v>
      </c>
    </row>
    <row r="1128" spans="1:24" s="229" customFormat="1" ht="25.5" hidden="1">
      <c r="A1128" s="239" t="s">
        <v>400</v>
      </c>
      <c r="B1128" s="227" t="s">
        <v>402</v>
      </c>
      <c r="C1128" s="227" t="s">
        <v>30</v>
      </c>
      <c r="D1128" s="227" t="s">
        <v>13</v>
      </c>
      <c r="E1128" s="227" t="s">
        <v>82</v>
      </c>
      <c r="F1128" s="227" t="s">
        <v>70</v>
      </c>
      <c r="G1128" s="227" t="s">
        <v>148</v>
      </c>
      <c r="H1128" s="227" t="s">
        <v>183</v>
      </c>
      <c r="I1128" s="237"/>
      <c r="J1128" s="238"/>
      <c r="K1128" s="238"/>
      <c r="L1128" s="238"/>
      <c r="M1128" s="238"/>
      <c r="N1128" s="238"/>
      <c r="O1128" s="238"/>
      <c r="P1128" s="238">
        <f>P1129+P1131</f>
        <v>50000</v>
      </c>
      <c r="Q1128" s="238">
        <f t="shared" ref="Q1128:U1128" si="1145">Q1129+Q1131</f>
        <v>50000</v>
      </c>
      <c r="R1128" s="238">
        <f t="shared" si="1145"/>
        <v>50000</v>
      </c>
      <c r="S1128" s="238">
        <f t="shared" si="1145"/>
        <v>0</v>
      </c>
      <c r="T1128" s="238">
        <f t="shared" si="1145"/>
        <v>0</v>
      </c>
      <c r="U1128" s="238">
        <f t="shared" si="1145"/>
        <v>0</v>
      </c>
      <c r="V1128" s="238">
        <f t="shared" si="1136"/>
        <v>50000</v>
      </c>
      <c r="W1128" s="238">
        <f t="shared" si="1136"/>
        <v>50000</v>
      </c>
      <c r="X1128" s="238">
        <f t="shared" si="1136"/>
        <v>50000</v>
      </c>
    </row>
    <row r="1129" spans="1:24" s="229" customFormat="1" ht="25.5" hidden="1">
      <c r="A1129" s="240" t="s">
        <v>260</v>
      </c>
      <c r="B1129" s="227" t="s">
        <v>402</v>
      </c>
      <c r="C1129" s="227" t="s">
        <v>30</v>
      </c>
      <c r="D1129" s="227" t="s">
        <v>13</v>
      </c>
      <c r="E1129" s="227" t="s">
        <v>82</v>
      </c>
      <c r="F1129" s="227" t="s">
        <v>70</v>
      </c>
      <c r="G1129" s="227" t="s">
        <v>148</v>
      </c>
      <c r="H1129" s="227" t="s">
        <v>183</v>
      </c>
      <c r="I1129" s="237" t="s">
        <v>94</v>
      </c>
      <c r="J1129" s="238"/>
      <c r="K1129" s="238"/>
      <c r="L1129" s="238"/>
      <c r="M1129" s="238"/>
      <c r="N1129" s="238"/>
      <c r="O1129" s="238"/>
      <c r="P1129" s="238">
        <f>P1130</f>
        <v>50000</v>
      </c>
      <c r="Q1129" s="238">
        <f t="shared" ref="Q1129:U1129" si="1146">Q1130</f>
        <v>50000</v>
      </c>
      <c r="R1129" s="238">
        <f t="shared" si="1146"/>
        <v>50000</v>
      </c>
      <c r="S1129" s="238">
        <f t="shared" si="1146"/>
        <v>-50000</v>
      </c>
      <c r="T1129" s="238">
        <f t="shared" si="1146"/>
        <v>0</v>
      </c>
      <c r="U1129" s="238">
        <f t="shared" si="1146"/>
        <v>0</v>
      </c>
      <c r="V1129" s="238">
        <f t="shared" si="1136"/>
        <v>0</v>
      </c>
      <c r="W1129" s="238">
        <f t="shared" si="1136"/>
        <v>50000</v>
      </c>
      <c r="X1129" s="238">
        <f t="shared" si="1136"/>
        <v>50000</v>
      </c>
    </row>
    <row r="1130" spans="1:24" s="229" customFormat="1" ht="25.5" hidden="1">
      <c r="A1130" s="239" t="s">
        <v>98</v>
      </c>
      <c r="B1130" s="227" t="s">
        <v>402</v>
      </c>
      <c r="C1130" s="227" t="s">
        <v>30</v>
      </c>
      <c r="D1130" s="227" t="s">
        <v>13</v>
      </c>
      <c r="E1130" s="227" t="s">
        <v>82</v>
      </c>
      <c r="F1130" s="227" t="s">
        <v>70</v>
      </c>
      <c r="G1130" s="227" t="s">
        <v>148</v>
      </c>
      <c r="H1130" s="227" t="s">
        <v>183</v>
      </c>
      <c r="I1130" s="237" t="s">
        <v>95</v>
      </c>
      <c r="J1130" s="238"/>
      <c r="K1130" s="238"/>
      <c r="L1130" s="238"/>
      <c r="M1130" s="238"/>
      <c r="N1130" s="238"/>
      <c r="O1130" s="238"/>
      <c r="P1130" s="238">
        <v>50000</v>
      </c>
      <c r="Q1130" s="238">
        <v>50000</v>
      </c>
      <c r="R1130" s="238">
        <v>50000</v>
      </c>
      <c r="S1130" s="238">
        <v>-50000</v>
      </c>
      <c r="T1130" s="238"/>
      <c r="U1130" s="238"/>
      <c r="V1130" s="238">
        <f t="shared" si="1136"/>
        <v>0</v>
      </c>
      <c r="W1130" s="238">
        <f t="shared" si="1136"/>
        <v>50000</v>
      </c>
      <c r="X1130" s="238">
        <f t="shared" si="1136"/>
        <v>50000</v>
      </c>
    </row>
    <row r="1131" spans="1:24" s="229" customFormat="1" hidden="1">
      <c r="A1131" s="235" t="s">
        <v>100</v>
      </c>
      <c r="B1131" s="227" t="s">
        <v>402</v>
      </c>
      <c r="C1131" s="227" t="s">
        <v>30</v>
      </c>
      <c r="D1131" s="227" t="s">
        <v>13</v>
      </c>
      <c r="E1131" s="227" t="s">
        <v>82</v>
      </c>
      <c r="F1131" s="227" t="s">
        <v>70</v>
      </c>
      <c r="G1131" s="227" t="s">
        <v>148</v>
      </c>
      <c r="H1131" s="227" t="s">
        <v>183</v>
      </c>
      <c r="I1131" s="237" t="s">
        <v>99</v>
      </c>
      <c r="J1131" s="238"/>
      <c r="K1131" s="238"/>
      <c r="L1131" s="238"/>
      <c r="M1131" s="238"/>
      <c r="N1131" s="238"/>
      <c r="O1131" s="238"/>
      <c r="P1131" s="238">
        <f>P1132</f>
        <v>0</v>
      </c>
      <c r="Q1131" s="238">
        <f t="shared" ref="Q1131:U1131" si="1147">Q1132</f>
        <v>0</v>
      </c>
      <c r="R1131" s="238">
        <f t="shared" si="1147"/>
        <v>0</v>
      </c>
      <c r="S1131" s="238">
        <f t="shared" si="1147"/>
        <v>50000</v>
      </c>
      <c r="T1131" s="238">
        <f t="shared" si="1147"/>
        <v>0</v>
      </c>
      <c r="U1131" s="238">
        <f t="shared" si="1147"/>
        <v>0</v>
      </c>
      <c r="V1131" s="238">
        <f t="shared" si="1136"/>
        <v>50000</v>
      </c>
      <c r="W1131" s="238">
        <f t="shared" si="1136"/>
        <v>0</v>
      </c>
      <c r="X1131" s="238">
        <f t="shared" si="1136"/>
        <v>0</v>
      </c>
    </row>
    <row r="1132" spans="1:24" s="229" customFormat="1" hidden="1">
      <c r="A1132" s="239" t="s">
        <v>117</v>
      </c>
      <c r="B1132" s="227" t="s">
        <v>402</v>
      </c>
      <c r="C1132" s="227" t="s">
        <v>30</v>
      </c>
      <c r="D1132" s="227" t="s">
        <v>13</v>
      </c>
      <c r="E1132" s="227" t="s">
        <v>82</v>
      </c>
      <c r="F1132" s="227" t="s">
        <v>70</v>
      </c>
      <c r="G1132" s="227" t="s">
        <v>148</v>
      </c>
      <c r="H1132" s="227" t="s">
        <v>183</v>
      </c>
      <c r="I1132" s="237" t="s">
        <v>116</v>
      </c>
      <c r="J1132" s="238"/>
      <c r="K1132" s="238"/>
      <c r="L1132" s="238"/>
      <c r="M1132" s="238"/>
      <c r="N1132" s="238"/>
      <c r="O1132" s="238"/>
      <c r="P1132" s="238"/>
      <c r="Q1132" s="238"/>
      <c r="R1132" s="238"/>
      <c r="S1132" s="238">
        <v>50000</v>
      </c>
      <c r="T1132" s="238"/>
      <c r="U1132" s="238"/>
      <c r="V1132" s="238">
        <f t="shared" si="1136"/>
        <v>50000</v>
      </c>
      <c r="W1132" s="238">
        <f t="shared" si="1136"/>
        <v>0</v>
      </c>
      <c r="X1132" s="238">
        <f t="shared" si="1136"/>
        <v>0</v>
      </c>
    </row>
    <row r="1133" spans="1:24" s="229" customFormat="1" hidden="1">
      <c r="A1133" s="241" t="s">
        <v>240</v>
      </c>
      <c r="B1133" s="227" t="s">
        <v>402</v>
      </c>
      <c r="C1133" s="227" t="s">
        <v>30</v>
      </c>
      <c r="D1133" s="227" t="s">
        <v>13</v>
      </c>
      <c r="E1133" s="227" t="s">
        <v>82</v>
      </c>
      <c r="F1133" s="227" t="s">
        <v>70</v>
      </c>
      <c r="G1133" s="227" t="s">
        <v>148</v>
      </c>
      <c r="H1133" s="247" t="s">
        <v>241</v>
      </c>
      <c r="I1133" s="248"/>
      <c r="J1133" s="238"/>
      <c r="K1133" s="238"/>
      <c r="L1133" s="238"/>
      <c r="M1133" s="238"/>
      <c r="N1133" s="238"/>
      <c r="O1133" s="238"/>
      <c r="P1133" s="238">
        <f>P1134</f>
        <v>78350</v>
      </c>
      <c r="Q1133" s="238">
        <f t="shared" ref="Q1133:U1134" si="1148">Q1134</f>
        <v>0</v>
      </c>
      <c r="R1133" s="238">
        <f t="shared" si="1148"/>
        <v>0</v>
      </c>
      <c r="S1133" s="238">
        <f t="shared" si="1148"/>
        <v>0</v>
      </c>
      <c r="T1133" s="238">
        <f t="shared" si="1148"/>
        <v>0</v>
      </c>
      <c r="U1133" s="238">
        <f t="shared" si="1148"/>
        <v>0</v>
      </c>
      <c r="V1133" s="238">
        <f t="shared" si="1136"/>
        <v>78350</v>
      </c>
      <c r="W1133" s="238">
        <f t="shared" si="1136"/>
        <v>0</v>
      </c>
      <c r="X1133" s="238">
        <f t="shared" si="1136"/>
        <v>0</v>
      </c>
    </row>
    <row r="1134" spans="1:24" s="229" customFormat="1" hidden="1">
      <c r="A1134" s="235" t="s">
        <v>100</v>
      </c>
      <c r="B1134" s="227" t="s">
        <v>402</v>
      </c>
      <c r="C1134" s="227" t="s">
        <v>30</v>
      </c>
      <c r="D1134" s="227" t="s">
        <v>13</v>
      </c>
      <c r="E1134" s="227" t="s">
        <v>82</v>
      </c>
      <c r="F1134" s="227" t="s">
        <v>70</v>
      </c>
      <c r="G1134" s="227" t="s">
        <v>148</v>
      </c>
      <c r="H1134" s="247" t="s">
        <v>241</v>
      </c>
      <c r="I1134" s="248" t="s">
        <v>99</v>
      </c>
      <c r="J1134" s="238"/>
      <c r="K1134" s="238"/>
      <c r="L1134" s="238"/>
      <c r="M1134" s="238"/>
      <c r="N1134" s="238"/>
      <c r="O1134" s="238"/>
      <c r="P1134" s="238">
        <f>P1135</f>
        <v>78350</v>
      </c>
      <c r="Q1134" s="238">
        <f t="shared" si="1148"/>
        <v>0</v>
      </c>
      <c r="R1134" s="238">
        <f t="shared" si="1148"/>
        <v>0</v>
      </c>
      <c r="S1134" s="238">
        <f t="shared" si="1148"/>
        <v>0</v>
      </c>
      <c r="T1134" s="238">
        <f t="shared" si="1148"/>
        <v>0</v>
      </c>
      <c r="U1134" s="238">
        <f t="shared" si="1148"/>
        <v>0</v>
      </c>
      <c r="V1134" s="238">
        <f t="shared" si="1136"/>
        <v>78350</v>
      </c>
      <c r="W1134" s="238">
        <f t="shared" si="1136"/>
        <v>0</v>
      </c>
      <c r="X1134" s="238">
        <f t="shared" si="1136"/>
        <v>0</v>
      </c>
    </row>
    <row r="1135" spans="1:24" s="229" customFormat="1" hidden="1">
      <c r="A1135" s="239" t="s">
        <v>117</v>
      </c>
      <c r="B1135" s="227" t="s">
        <v>402</v>
      </c>
      <c r="C1135" s="227" t="s">
        <v>30</v>
      </c>
      <c r="D1135" s="227" t="s">
        <v>13</v>
      </c>
      <c r="E1135" s="227" t="s">
        <v>82</v>
      </c>
      <c r="F1135" s="227" t="s">
        <v>70</v>
      </c>
      <c r="G1135" s="227" t="s">
        <v>148</v>
      </c>
      <c r="H1135" s="247" t="s">
        <v>241</v>
      </c>
      <c r="I1135" s="248" t="s">
        <v>116</v>
      </c>
      <c r="J1135" s="238"/>
      <c r="K1135" s="238"/>
      <c r="L1135" s="238"/>
      <c r="M1135" s="238"/>
      <c r="N1135" s="238"/>
      <c r="O1135" s="238"/>
      <c r="P1135" s="238">
        <v>78350</v>
      </c>
      <c r="Q1135" s="238">
        <v>0</v>
      </c>
      <c r="R1135" s="238">
        <v>0</v>
      </c>
      <c r="S1135" s="238"/>
      <c r="T1135" s="238"/>
      <c r="U1135" s="238"/>
      <c r="V1135" s="238">
        <f t="shared" si="1136"/>
        <v>78350</v>
      </c>
      <c r="W1135" s="238">
        <f t="shared" si="1136"/>
        <v>0</v>
      </c>
      <c r="X1135" s="238">
        <f t="shared" si="1136"/>
        <v>0</v>
      </c>
    </row>
    <row r="1136" spans="1:24" s="229" customFormat="1" hidden="1">
      <c r="A1136" s="276" t="s">
        <v>21</v>
      </c>
      <c r="B1136" s="231" t="s">
        <v>402</v>
      </c>
      <c r="C1136" s="231" t="s">
        <v>30</v>
      </c>
      <c r="D1136" s="231" t="s">
        <v>16</v>
      </c>
      <c r="E1136" s="231"/>
      <c r="F1136" s="231"/>
      <c r="G1136" s="231"/>
      <c r="H1136" s="227"/>
      <c r="I1136" s="237"/>
      <c r="J1136" s="234"/>
      <c r="K1136" s="234"/>
      <c r="L1136" s="234"/>
      <c r="M1136" s="234"/>
      <c r="N1136" s="234"/>
      <c r="O1136" s="234"/>
      <c r="P1136" s="234">
        <f>P1137</f>
        <v>50000</v>
      </c>
      <c r="Q1136" s="234">
        <f t="shared" ref="Q1136:U1139" si="1149">Q1137</f>
        <v>50000</v>
      </c>
      <c r="R1136" s="234">
        <f t="shared" si="1149"/>
        <v>50000</v>
      </c>
      <c r="S1136" s="234">
        <f t="shared" si="1149"/>
        <v>0</v>
      </c>
      <c r="T1136" s="234">
        <f t="shared" si="1149"/>
        <v>0</v>
      </c>
      <c r="U1136" s="234">
        <f t="shared" si="1149"/>
        <v>0</v>
      </c>
      <c r="V1136" s="234">
        <f t="shared" si="1136"/>
        <v>50000</v>
      </c>
      <c r="W1136" s="234">
        <f t="shared" si="1136"/>
        <v>50000</v>
      </c>
      <c r="X1136" s="234">
        <f t="shared" si="1136"/>
        <v>50000</v>
      </c>
    </row>
    <row r="1137" spans="1:24" s="229" customFormat="1" ht="38.25" hidden="1">
      <c r="A1137" s="284" t="s">
        <v>293</v>
      </c>
      <c r="B1137" s="227" t="s">
        <v>402</v>
      </c>
      <c r="C1137" s="227" t="s">
        <v>30</v>
      </c>
      <c r="D1137" s="227" t="s">
        <v>16</v>
      </c>
      <c r="E1137" s="227" t="s">
        <v>31</v>
      </c>
      <c r="F1137" s="227" t="s">
        <v>70</v>
      </c>
      <c r="G1137" s="227" t="s">
        <v>148</v>
      </c>
      <c r="H1137" s="227" t="s">
        <v>149</v>
      </c>
      <c r="I1137" s="242"/>
      <c r="J1137" s="244"/>
      <c r="K1137" s="244"/>
      <c r="L1137" s="244"/>
      <c r="M1137" s="244"/>
      <c r="N1137" s="244"/>
      <c r="O1137" s="244"/>
      <c r="P1137" s="244">
        <f>P1138</f>
        <v>50000</v>
      </c>
      <c r="Q1137" s="244">
        <f t="shared" si="1149"/>
        <v>50000</v>
      </c>
      <c r="R1137" s="244">
        <f t="shared" si="1149"/>
        <v>50000</v>
      </c>
      <c r="S1137" s="244">
        <f t="shared" si="1149"/>
        <v>0</v>
      </c>
      <c r="T1137" s="244">
        <f t="shared" si="1149"/>
        <v>0</v>
      </c>
      <c r="U1137" s="244">
        <f t="shared" si="1149"/>
        <v>0</v>
      </c>
      <c r="V1137" s="244">
        <f t="shared" ref="V1137:X1147" si="1150">P1137+S1137</f>
        <v>50000</v>
      </c>
      <c r="W1137" s="244">
        <f t="shared" si="1150"/>
        <v>50000</v>
      </c>
      <c r="X1137" s="244">
        <f t="shared" si="1150"/>
        <v>50000</v>
      </c>
    </row>
    <row r="1138" spans="1:24" s="229" customFormat="1" ht="25.5" hidden="1">
      <c r="A1138" s="235" t="s">
        <v>123</v>
      </c>
      <c r="B1138" s="227" t="s">
        <v>402</v>
      </c>
      <c r="C1138" s="227" t="s">
        <v>30</v>
      </c>
      <c r="D1138" s="227" t="s">
        <v>16</v>
      </c>
      <c r="E1138" s="227" t="s">
        <v>31</v>
      </c>
      <c r="F1138" s="227" t="s">
        <v>70</v>
      </c>
      <c r="G1138" s="227" t="s">
        <v>148</v>
      </c>
      <c r="H1138" s="227" t="s">
        <v>184</v>
      </c>
      <c r="I1138" s="242"/>
      <c r="J1138" s="244"/>
      <c r="K1138" s="244"/>
      <c r="L1138" s="244"/>
      <c r="M1138" s="244"/>
      <c r="N1138" s="244"/>
      <c r="O1138" s="244"/>
      <c r="P1138" s="244">
        <f>P1139</f>
        <v>50000</v>
      </c>
      <c r="Q1138" s="244">
        <f t="shared" si="1149"/>
        <v>50000</v>
      </c>
      <c r="R1138" s="244">
        <f t="shared" si="1149"/>
        <v>50000</v>
      </c>
      <c r="S1138" s="244">
        <f t="shared" si="1149"/>
        <v>0</v>
      </c>
      <c r="T1138" s="244">
        <f t="shared" si="1149"/>
        <v>0</v>
      </c>
      <c r="U1138" s="244">
        <f t="shared" si="1149"/>
        <v>0</v>
      </c>
      <c r="V1138" s="244">
        <f t="shared" si="1150"/>
        <v>50000</v>
      </c>
      <c r="W1138" s="244">
        <f t="shared" si="1150"/>
        <v>50000</v>
      </c>
      <c r="X1138" s="244">
        <f t="shared" si="1150"/>
        <v>50000</v>
      </c>
    </row>
    <row r="1139" spans="1:24" s="229" customFormat="1" ht="25.5" hidden="1">
      <c r="A1139" s="240" t="s">
        <v>260</v>
      </c>
      <c r="B1139" s="243" t="s">
        <v>402</v>
      </c>
      <c r="C1139" s="227" t="s">
        <v>30</v>
      </c>
      <c r="D1139" s="227" t="s">
        <v>16</v>
      </c>
      <c r="E1139" s="227" t="s">
        <v>31</v>
      </c>
      <c r="F1139" s="227" t="s">
        <v>70</v>
      </c>
      <c r="G1139" s="227" t="s">
        <v>148</v>
      </c>
      <c r="H1139" s="227" t="s">
        <v>184</v>
      </c>
      <c r="I1139" s="285" t="s">
        <v>94</v>
      </c>
      <c r="J1139" s="244"/>
      <c r="K1139" s="244"/>
      <c r="L1139" s="244"/>
      <c r="M1139" s="244"/>
      <c r="N1139" s="244"/>
      <c r="O1139" s="244"/>
      <c r="P1139" s="244">
        <f>P1140</f>
        <v>50000</v>
      </c>
      <c r="Q1139" s="244">
        <f t="shared" si="1149"/>
        <v>50000</v>
      </c>
      <c r="R1139" s="244">
        <f t="shared" si="1149"/>
        <v>50000</v>
      </c>
      <c r="S1139" s="244">
        <f t="shared" si="1149"/>
        <v>0</v>
      </c>
      <c r="T1139" s="244">
        <f t="shared" si="1149"/>
        <v>0</v>
      </c>
      <c r="U1139" s="244">
        <f t="shared" si="1149"/>
        <v>0</v>
      </c>
      <c r="V1139" s="244">
        <f t="shared" si="1150"/>
        <v>50000</v>
      </c>
      <c r="W1139" s="244">
        <f t="shared" si="1150"/>
        <v>50000</v>
      </c>
      <c r="X1139" s="244">
        <f t="shared" si="1150"/>
        <v>50000</v>
      </c>
    </row>
    <row r="1140" spans="1:24" s="229" customFormat="1" ht="25.5" hidden="1">
      <c r="A1140" s="239" t="s">
        <v>98</v>
      </c>
      <c r="B1140" s="243" t="s">
        <v>402</v>
      </c>
      <c r="C1140" s="227" t="s">
        <v>30</v>
      </c>
      <c r="D1140" s="227" t="s">
        <v>16</v>
      </c>
      <c r="E1140" s="227" t="s">
        <v>31</v>
      </c>
      <c r="F1140" s="227" t="s">
        <v>70</v>
      </c>
      <c r="G1140" s="227" t="s">
        <v>148</v>
      </c>
      <c r="H1140" s="227" t="s">
        <v>184</v>
      </c>
      <c r="I1140" s="285" t="s">
        <v>95</v>
      </c>
      <c r="J1140" s="244"/>
      <c r="K1140" s="244"/>
      <c r="L1140" s="244"/>
      <c r="M1140" s="244"/>
      <c r="N1140" s="244"/>
      <c r="O1140" s="244"/>
      <c r="P1140" s="244">
        <v>50000</v>
      </c>
      <c r="Q1140" s="244">
        <v>50000</v>
      </c>
      <c r="R1140" s="244">
        <v>50000</v>
      </c>
      <c r="S1140" s="244"/>
      <c r="T1140" s="244"/>
      <c r="U1140" s="244"/>
      <c r="V1140" s="244">
        <f t="shared" si="1150"/>
        <v>50000</v>
      </c>
      <c r="W1140" s="244">
        <f t="shared" si="1150"/>
        <v>50000</v>
      </c>
      <c r="X1140" s="244">
        <f t="shared" si="1150"/>
        <v>50000</v>
      </c>
    </row>
    <row r="1141" spans="1:24" s="229" customFormat="1" ht="15" hidden="1" customHeight="1">
      <c r="A1141" s="225" t="s">
        <v>112</v>
      </c>
      <c r="B1141" s="274" t="s">
        <v>402</v>
      </c>
      <c r="C1141" s="274" t="s">
        <v>49</v>
      </c>
      <c r="D1141" s="274"/>
      <c r="E1141" s="274"/>
      <c r="F1141" s="274"/>
      <c r="G1141" s="274"/>
      <c r="H1141" s="274"/>
      <c r="I1141" s="275"/>
      <c r="J1141" s="228"/>
      <c r="K1141" s="228"/>
      <c r="L1141" s="228"/>
      <c r="M1141" s="228"/>
      <c r="N1141" s="228"/>
      <c r="O1141" s="228"/>
      <c r="P1141" s="228">
        <f t="shared" ref="P1141:U1146" si="1151">P1142</f>
        <v>10000</v>
      </c>
      <c r="Q1141" s="228">
        <f t="shared" si="1151"/>
        <v>10000</v>
      </c>
      <c r="R1141" s="228">
        <f t="shared" si="1151"/>
        <v>9600</v>
      </c>
      <c r="S1141" s="228">
        <f t="shared" si="1151"/>
        <v>0</v>
      </c>
      <c r="T1141" s="228">
        <f t="shared" si="1151"/>
        <v>0</v>
      </c>
      <c r="U1141" s="228">
        <f t="shared" si="1151"/>
        <v>0</v>
      </c>
      <c r="V1141" s="228">
        <f t="shared" si="1150"/>
        <v>10000</v>
      </c>
      <c r="W1141" s="228">
        <f t="shared" si="1150"/>
        <v>10000</v>
      </c>
      <c r="X1141" s="228">
        <f t="shared" si="1150"/>
        <v>9600</v>
      </c>
    </row>
    <row r="1142" spans="1:24" s="229" customFormat="1" hidden="1">
      <c r="A1142" s="276" t="s">
        <v>261</v>
      </c>
      <c r="B1142" s="232" t="s">
        <v>402</v>
      </c>
      <c r="C1142" s="232" t="s">
        <v>49</v>
      </c>
      <c r="D1142" s="232" t="s">
        <v>20</v>
      </c>
      <c r="E1142" s="232"/>
      <c r="F1142" s="232"/>
      <c r="G1142" s="232"/>
      <c r="H1142" s="232"/>
      <c r="I1142" s="233"/>
      <c r="J1142" s="234"/>
      <c r="K1142" s="234"/>
      <c r="L1142" s="234"/>
      <c r="M1142" s="234"/>
      <c r="N1142" s="234"/>
      <c r="O1142" s="234"/>
      <c r="P1142" s="234">
        <f t="shared" si="1151"/>
        <v>10000</v>
      </c>
      <c r="Q1142" s="234">
        <f t="shared" si="1151"/>
        <v>10000</v>
      </c>
      <c r="R1142" s="234">
        <f t="shared" si="1151"/>
        <v>9600</v>
      </c>
      <c r="S1142" s="234">
        <f t="shared" si="1151"/>
        <v>0</v>
      </c>
      <c r="T1142" s="234">
        <f t="shared" si="1151"/>
        <v>0</v>
      </c>
      <c r="U1142" s="234">
        <f t="shared" si="1151"/>
        <v>0</v>
      </c>
      <c r="V1142" s="234">
        <f t="shared" si="1150"/>
        <v>10000</v>
      </c>
      <c r="W1142" s="234">
        <f t="shared" si="1150"/>
        <v>10000</v>
      </c>
      <c r="X1142" s="234">
        <f t="shared" si="1150"/>
        <v>9600</v>
      </c>
    </row>
    <row r="1143" spans="1:24" s="229" customFormat="1" ht="38.25" hidden="1">
      <c r="A1143" s="286" t="s">
        <v>294</v>
      </c>
      <c r="B1143" s="243" t="s">
        <v>402</v>
      </c>
      <c r="C1143" s="287" t="s">
        <v>49</v>
      </c>
      <c r="D1143" s="287" t="s">
        <v>20</v>
      </c>
      <c r="E1143" s="287" t="s">
        <v>19</v>
      </c>
      <c r="F1143" s="287" t="s">
        <v>70</v>
      </c>
      <c r="G1143" s="287" t="s">
        <v>148</v>
      </c>
      <c r="H1143" s="287" t="s">
        <v>149</v>
      </c>
      <c r="I1143" s="288"/>
      <c r="J1143" s="238"/>
      <c r="K1143" s="238"/>
      <c r="L1143" s="238"/>
      <c r="M1143" s="238"/>
      <c r="N1143" s="238"/>
      <c r="O1143" s="238"/>
      <c r="P1143" s="238">
        <f t="shared" si="1151"/>
        <v>10000</v>
      </c>
      <c r="Q1143" s="238">
        <f t="shared" si="1151"/>
        <v>10000</v>
      </c>
      <c r="R1143" s="238">
        <f t="shared" si="1151"/>
        <v>9600</v>
      </c>
      <c r="S1143" s="238">
        <f t="shared" si="1151"/>
        <v>0</v>
      </c>
      <c r="T1143" s="238">
        <f t="shared" si="1151"/>
        <v>0</v>
      </c>
      <c r="U1143" s="238">
        <f t="shared" si="1151"/>
        <v>0</v>
      </c>
      <c r="V1143" s="238">
        <f t="shared" si="1150"/>
        <v>10000</v>
      </c>
      <c r="W1143" s="238">
        <f t="shared" si="1150"/>
        <v>10000</v>
      </c>
      <c r="X1143" s="238">
        <f t="shared" si="1150"/>
        <v>9600</v>
      </c>
    </row>
    <row r="1144" spans="1:24" s="229" customFormat="1" ht="25.5" hidden="1">
      <c r="A1144" s="286" t="s">
        <v>295</v>
      </c>
      <c r="B1144" s="243" t="s">
        <v>402</v>
      </c>
      <c r="C1144" s="287" t="s">
        <v>49</v>
      </c>
      <c r="D1144" s="287" t="s">
        <v>20</v>
      </c>
      <c r="E1144" s="287" t="s">
        <v>19</v>
      </c>
      <c r="F1144" s="287" t="s">
        <v>134</v>
      </c>
      <c r="G1144" s="287" t="s">
        <v>148</v>
      </c>
      <c r="H1144" s="287" t="s">
        <v>149</v>
      </c>
      <c r="I1144" s="288"/>
      <c r="J1144" s="238"/>
      <c r="K1144" s="238"/>
      <c r="L1144" s="238"/>
      <c r="M1144" s="238"/>
      <c r="N1144" s="238"/>
      <c r="O1144" s="238"/>
      <c r="P1144" s="238">
        <f t="shared" si="1151"/>
        <v>10000</v>
      </c>
      <c r="Q1144" s="238">
        <f t="shared" si="1151"/>
        <v>10000</v>
      </c>
      <c r="R1144" s="238">
        <f t="shared" si="1151"/>
        <v>9600</v>
      </c>
      <c r="S1144" s="238">
        <f t="shared" si="1151"/>
        <v>0</v>
      </c>
      <c r="T1144" s="238">
        <f t="shared" si="1151"/>
        <v>0</v>
      </c>
      <c r="U1144" s="238">
        <f t="shared" si="1151"/>
        <v>0</v>
      </c>
      <c r="V1144" s="238">
        <f t="shared" si="1150"/>
        <v>10000</v>
      </c>
      <c r="W1144" s="238">
        <f t="shared" si="1150"/>
        <v>10000</v>
      </c>
      <c r="X1144" s="238">
        <f t="shared" si="1150"/>
        <v>9600</v>
      </c>
    </row>
    <row r="1145" spans="1:24" s="229" customFormat="1" hidden="1">
      <c r="A1145" s="235" t="s">
        <v>109</v>
      </c>
      <c r="B1145" s="243" t="s">
        <v>402</v>
      </c>
      <c r="C1145" s="287" t="s">
        <v>49</v>
      </c>
      <c r="D1145" s="287" t="s">
        <v>20</v>
      </c>
      <c r="E1145" s="287" t="s">
        <v>19</v>
      </c>
      <c r="F1145" s="287" t="s">
        <v>134</v>
      </c>
      <c r="G1145" s="287" t="s">
        <v>148</v>
      </c>
      <c r="H1145" s="287" t="s">
        <v>187</v>
      </c>
      <c r="I1145" s="288"/>
      <c r="J1145" s="238"/>
      <c r="K1145" s="238"/>
      <c r="L1145" s="238"/>
      <c r="M1145" s="238"/>
      <c r="N1145" s="238"/>
      <c r="O1145" s="238"/>
      <c r="P1145" s="238">
        <f t="shared" si="1151"/>
        <v>10000</v>
      </c>
      <c r="Q1145" s="238">
        <f t="shared" si="1151"/>
        <v>10000</v>
      </c>
      <c r="R1145" s="238">
        <f t="shared" si="1151"/>
        <v>9600</v>
      </c>
      <c r="S1145" s="238">
        <f t="shared" si="1151"/>
        <v>0</v>
      </c>
      <c r="T1145" s="238">
        <f t="shared" si="1151"/>
        <v>0</v>
      </c>
      <c r="U1145" s="238">
        <f t="shared" si="1151"/>
        <v>0</v>
      </c>
      <c r="V1145" s="238">
        <f t="shared" si="1150"/>
        <v>10000</v>
      </c>
      <c r="W1145" s="238">
        <f t="shared" si="1150"/>
        <v>10000</v>
      </c>
      <c r="X1145" s="238">
        <f t="shared" si="1150"/>
        <v>9600</v>
      </c>
    </row>
    <row r="1146" spans="1:24" s="229" customFormat="1" hidden="1">
      <c r="A1146" s="235" t="s">
        <v>112</v>
      </c>
      <c r="B1146" s="243" t="s">
        <v>402</v>
      </c>
      <c r="C1146" s="287" t="s">
        <v>49</v>
      </c>
      <c r="D1146" s="287" t="s">
        <v>20</v>
      </c>
      <c r="E1146" s="287" t="s">
        <v>19</v>
      </c>
      <c r="F1146" s="287" t="s">
        <v>134</v>
      </c>
      <c r="G1146" s="287" t="s">
        <v>148</v>
      </c>
      <c r="H1146" s="287" t="s">
        <v>187</v>
      </c>
      <c r="I1146" s="288" t="s">
        <v>110</v>
      </c>
      <c r="J1146" s="238"/>
      <c r="K1146" s="238"/>
      <c r="L1146" s="238"/>
      <c r="M1146" s="238"/>
      <c r="N1146" s="238"/>
      <c r="O1146" s="238"/>
      <c r="P1146" s="238">
        <f t="shared" si="1151"/>
        <v>10000</v>
      </c>
      <c r="Q1146" s="238">
        <f t="shared" si="1151"/>
        <v>10000</v>
      </c>
      <c r="R1146" s="238">
        <f t="shared" si="1151"/>
        <v>9600</v>
      </c>
      <c r="S1146" s="238">
        <f t="shared" si="1151"/>
        <v>0</v>
      </c>
      <c r="T1146" s="238">
        <f t="shared" si="1151"/>
        <v>0</v>
      </c>
      <c r="U1146" s="238">
        <f t="shared" si="1151"/>
        <v>0</v>
      </c>
      <c r="V1146" s="238">
        <f t="shared" si="1150"/>
        <v>10000</v>
      </c>
      <c r="W1146" s="238">
        <f t="shared" si="1150"/>
        <v>10000</v>
      </c>
      <c r="X1146" s="238">
        <f t="shared" si="1150"/>
        <v>9600</v>
      </c>
    </row>
    <row r="1147" spans="1:24" s="229" customFormat="1" hidden="1">
      <c r="A1147" s="235" t="s">
        <v>109</v>
      </c>
      <c r="B1147" s="243" t="s">
        <v>402</v>
      </c>
      <c r="C1147" s="287" t="s">
        <v>49</v>
      </c>
      <c r="D1147" s="287" t="s">
        <v>20</v>
      </c>
      <c r="E1147" s="287" t="s">
        <v>19</v>
      </c>
      <c r="F1147" s="287" t="s">
        <v>134</v>
      </c>
      <c r="G1147" s="287" t="s">
        <v>148</v>
      </c>
      <c r="H1147" s="227" t="s">
        <v>187</v>
      </c>
      <c r="I1147" s="288" t="s">
        <v>111</v>
      </c>
      <c r="J1147" s="238"/>
      <c r="K1147" s="238"/>
      <c r="L1147" s="238"/>
      <c r="M1147" s="238"/>
      <c r="N1147" s="238"/>
      <c r="O1147" s="238"/>
      <c r="P1147" s="238">
        <v>10000</v>
      </c>
      <c r="Q1147" s="238">
        <v>10000</v>
      </c>
      <c r="R1147" s="238">
        <v>9600</v>
      </c>
      <c r="S1147" s="238"/>
      <c r="T1147" s="238"/>
      <c r="U1147" s="238"/>
      <c r="V1147" s="238">
        <f t="shared" si="1150"/>
        <v>10000</v>
      </c>
      <c r="W1147" s="238">
        <f t="shared" si="1150"/>
        <v>10000</v>
      </c>
      <c r="X1147" s="238">
        <f t="shared" si="1150"/>
        <v>9600</v>
      </c>
    </row>
    <row r="1148" spans="1:24" s="222" customFormat="1" ht="15.75" hidden="1">
      <c r="A1148" s="221" t="s">
        <v>460</v>
      </c>
      <c r="P1148" s="223">
        <f t="shared" ref="P1148:X1148" si="1152">P1149+P1165+P1173+P1179+P1187</f>
        <v>23705125.159999996</v>
      </c>
      <c r="Q1148" s="223">
        <f t="shared" si="1152"/>
        <v>12046189.189999999</v>
      </c>
      <c r="R1148" s="223">
        <f t="shared" si="1152"/>
        <v>12037970.27</v>
      </c>
      <c r="S1148" s="223">
        <f t="shared" si="1152"/>
        <v>254140.41</v>
      </c>
      <c r="T1148" s="223">
        <f t="shared" si="1152"/>
        <v>0</v>
      </c>
      <c r="U1148" s="223">
        <f t="shared" si="1152"/>
        <v>0</v>
      </c>
      <c r="V1148" s="223">
        <f t="shared" si="1152"/>
        <v>23959265.57</v>
      </c>
      <c r="W1148" s="223">
        <f t="shared" si="1152"/>
        <v>12046189.189999999</v>
      </c>
      <c r="X1148" s="223">
        <f t="shared" si="1152"/>
        <v>12037970.27</v>
      </c>
    </row>
    <row r="1149" spans="1:24" s="229" customFormat="1" ht="15.75" hidden="1">
      <c r="A1149" s="225" t="s">
        <v>32</v>
      </c>
      <c r="B1149" s="226" t="s">
        <v>402</v>
      </c>
      <c r="C1149" s="226" t="s">
        <v>20</v>
      </c>
      <c r="D1149" s="227"/>
      <c r="E1149" s="227"/>
      <c r="F1149" s="227"/>
      <c r="G1149" s="227"/>
      <c r="H1149" s="227"/>
      <c r="I1149" s="227"/>
      <c r="J1149" s="228"/>
      <c r="K1149" s="228"/>
      <c r="L1149" s="228"/>
      <c r="M1149" s="228"/>
      <c r="N1149" s="228"/>
      <c r="O1149" s="228"/>
      <c r="P1149" s="228">
        <f t="shared" ref="P1149:U1149" si="1153">P1150+P1159</f>
        <v>9758022.3200000003</v>
      </c>
      <c r="Q1149" s="228">
        <f t="shared" si="1153"/>
        <v>9375082.5099999998</v>
      </c>
      <c r="R1149" s="228">
        <f t="shared" si="1153"/>
        <v>9365355.4100000001</v>
      </c>
      <c r="S1149" s="228">
        <f t="shared" si="1153"/>
        <v>154140.41</v>
      </c>
      <c r="T1149" s="228">
        <f t="shared" si="1153"/>
        <v>0</v>
      </c>
      <c r="U1149" s="228">
        <f t="shared" si="1153"/>
        <v>0</v>
      </c>
      <c r="V1149" s="228">
        <f t="shared" ref="V1149:X1164" si="1154">P1149+S1149</f>
        <v>9912162.7300000004</v>
      </c>
      <c r="W1149" s="228">
        <f t="shared" si="1154"/>
        <v>9375082.5099999998</v>
      </c>
      <c r="X1149" s="228">
        <f t="shared" si="1154"/>
        <v>9365355.4100000001</v>
      </c>
    </row>
    <row r="1150" spans="1:24" s="229" customFormat="1" ht="38.25" hidden="1">
      <c r="A1150" s="230" t="s">
        <v>0</v>
      </c>
      <c r="B1150" s="231" t="s">
        <v>402</v>
      </c>
      <c r="C1150" s="231" t="s">
        <v>20</v>
      </c>
      <c r="D1150" s="231" t="s">
        <v>16</v>
      </c>
      <c r="E1150" s="231"/>
      <c r="F1150" s="231"/>
      <c r="G1150" s="231"/>
      <c r="H1150" s="227"/>
      <c r="I1150" s="237"/>
      <c r="J1150" s="234"/>
      <c r="K1150" s="234"/>
      <c r="L1150" s="234"/>
      <c r="M1150" s="234"/>
      <c r="N1150" s="234"/>
      <c r="O1150" s="234"/>
      <c r="P1150" s="234">
        <f>P1151</f>
        <v>9272216</v>
      </c>
      <c r="Q1150" s="234">
        <f t="shared" ref="Q1150:U1151" si="1155">Q1151</f>
        <v>9375082.5099999998</v>
      </c>
      <c r="R1150" s="234">
        <f t="shared" si="1155"/>
        <v>9365355.4100000001</v>
      </c>
      <c r="S1150" s="234">
        <f t="shared" si="1155"/>
        <v>47500</v>
      </c>
      <c r="T1150" s="234">
        <f t="shared" si="1155"/>
        <v>0</v>
      </c>
      <c r="U1150" s="234">
        <f t="shared" si="1155"/>
        <v>0</v>
      </c>
      <c r="V1150" s="234">
        <f t="shared" si="1154"/>
        <v>9319716</v>
      </c>
      <c r="W1150" s="234">
        <f t="shared" si="1154"/>
        <v>9375082.5099999998</v>
      </c>
      <c r="X1150" s="234">
        <f t="shared" si="1154"/>
        <v>9365355.4100000001</v>
      </c>
    </row>
    <row r="1151" spans="1:24" s="229" customFormat="1" hidden="1">
      <c r="A1151" s="235" t="s">
        <v>83</v>
      </c>
      <c r="B1151" s="227" t="s">
        <v>402</v>
      </c>
      <c r="C1151" s="227" t="s">
        <v>20</v>
      </c>
      <c r="D1151" s="227" t="s">
        <v>16</v>
      </c>
      <c r="E1151" s="227" t="s">
        <v>82</v>
      </c>
      <c r="F1151" s="227" t="s">
        <v>70</v>
      </c>
      <c r="G1151" s="227" t="s">
        <v>148</v>
      </c>
      <c r="H1151" s="227" t="s">
        <v>149</v>
      </c>
      <c r="I1151" s="237"/>
      <c r="J1151" s="238"/>
      <c r="K1151" s="238"/>
      <c r="L1151" s="238"/>
      <c r="M1151" s="238"/>
      <c r="N1151" s="238"/>
      <c r="O1151" s="238"/>
      <c r="P1151" s="238">
        <f>P1152</f>
        <v>9272216</v>
      </c>
      <c r="Q1151" s="238">
        <f t="shared" si="1155"/>
        <v>9375082.5099999998</v>
      </c>
      <c r="R1151" s="238">
        <f t="shared" si="1155"/>
        <v>9365355.4100000001</v>
      </c>
      <c r="S1151" s="238">
        <f t="shared" si="1155"/>
        <v>47500</v>
      </c>
      <c r="T1151" s="238">
        <f t="shared" si="1155"/>
        <v>0</v>
      </c>
      <c r="U1151" s="238">
        <f t="shared" si="1155"/>
        <v>0</v>
      </c>
      <c r="V1151" s="238">
        <f t="shared" si="1154"/>
        <v>9319716</v>
      </c>
      <c r="W1151" s="238">
        <f t="shared" si="1154"/>
        <v>9375082.5099999998</v>
      </c>
      <c r="X1151" s="238">
        <f t="shared" si="1154"/>
        <v>9365355.4100000001</v>
      </c>
    </row>
    <row r="1152" spans="1:24" s="229" customFormat="1" ht="25.5" hidden="1">
      <c r="A1152" s="235" t="s">
        <v>87</v>
      </c>
      <c r="B1152" s="227" t="s">
        <v>402</v>
      </c>
      <c r="C1152" s="227" t="s">
        <v>20</v>
      </c>
      <c r="D1152" s="227" t="s">
        <v>16</v>
      </c>
      <c r="E1152" s="227" t="s">
        <v>82</v>
      </c>
      <c r="F1152" s="227" t="s">
        <v>70</v>
      </c>
      <c r="G1152" s="227" t="s">
        <v>148</v>
      </c>
      <c r="H1152" s="227" t="s">
        <v>158</v>
      </c>
      <c r="I1152" s="237"/>
      <c r="J1152" s="238"/>
      <c r="K1152" s="238"/>
      <c r="L1152" s="238"/>
      <c r="M1152" s="238"/>
      <c r="N1152" s="238"/>
      <c r="O1152" s="238"/>
      <c r="P1152" s="238">
        <f>P1153+P1155+P1157</f>
        <v>9272216</v>
      </c>
      <c r="Q1152" s="238">
        <f t="shared" ref="Q1152:U1152" si="1156">Q1153+Q1155+Q1157</f>
        <v>9375082.5099999998</v>
      </c>
      <c r="R1152" s="238">
        <f t="shared" si="1156"/>
        <v>9365355.4100000001</v>
      </c>
      <c r="S1152" s="238">
        <f t="shared" si="1156"/>
        <v>47500</v>
      </c>
      <c r="T1152" s="238">
        <f t="shared" si="1156"/>
        <v>0</v>
      </c>
      <c r="U1152" s="238">
        <f t="shared" si="1156"/>
        <v>0</v>
      </c>
      <c r="V1152" s="238">
        <f t="shared" si="1154"/>
        <v>9319716</v>
      </c>
      <c r="W1152" s="238">
        <f t="shared" si="1154"/>
        <v>9375082.5099999998</v>
      </c>
      <c r="X1152" s="238">
        <f t="shared" si="1154"/>
        <v>9365355.4100000001</v>
      </c>
    </row>
    <row r="1153" spans="1:24" s="229" customFormat="1" ht="38.25" hidden="1">
      <c r="A1153" s="239" t="s">
        <v>96</v>
      </c>
      <c r="B1153" s="227" t="s">
        <v>402</v>
      </c>
      <c r="C1153" s="227" t="s">
        <v>20</v>
      </c>
      <c r="D1153" s="227" t="s">
        <v>16</v>
      </c>
      <c r="E1153" s="227" t="s">
        <v>82</v>
      </c>
      <c r="F1153" s="227" t="s">
        <v>70</v>
      </c>
      <c r="G1153" s="227" t="s">
        <v>148</v>
      </c>
      <c r="H1153" s="227" t="s">
        <v>158</v>
      </c>
      <c r="I1153" s="237" t="s">
        <v>92</v>
      </c>
      <c r="J1153" s="238"/>
      <c r="K1153" s="238"/>
      <c r="L1153" s="238"/>
      <c r="M1153" s="238"/>
      <c r="N1153" s="238"/>
      <c r="O1153" s="238"/>
      <c r="P1153" s="238">
        <f>P1154</f>
        <v>8481269</v>
      </c>
      <c r="Q1153" s="238">
        <f t="shared" ref="Q1153:U1153" si="1157">Q1154</f>
        <v>8563136.0299999993</v>
      </c>
      <c r="R1153" s="238">
        <f t="shared" si="1157"/>
        <v>8565821.4700000007</v>
      </c>
      <c r="S1153" s="238">
        <f t="shared" si="1157"/>
        <v>-100000</v>
      </c>
      <c r="T1153" s="238">
        <f t="shared" si="1157"/>
        <v>0</v>
      </c>
      <c r="U1153" s="238">
        <f t="shared" si="1157"/>
        <v>0</v>
      </c>
      <c r="V1153" s="238">
        <f t="shared" si="1154"/>
        <v>8381269</v>
      </c>
      <c r="W1153" s="238">
        <f t="shared" si="1154"/>
        <v>8563136.0299999993</v>
      </c>
      <c r="X1153" s="238">
        <f t="shared" si="1154"/>
        <v>8565821.4700000007</v>
      </c>
    </row>
    <row r="1154" spans="1:24" s="229" customFormat="1" hidden="1">
      <c r="A1154" s="239" t="s">
        <v>103</v>
      </c>
      <c r="B1154" s="227" t="s">
        <v>402</v>
      </c>
      <c r="C1154" s="227" t="s">
        <v>20</v>
      </c>
      <c r="D1154" s="227" t="s">
        <v>16</v>
      </c>
      <c r="E1154" s="227" t="s">
        <v>82</v>
      </c>
      <c r="F1154" s="227" t="s">
        <v>70</v>
      </c>
      <c r="G1154" s="227" t="s">
        <v>148</v>
      </c>
      <c r="H1154" s="227" t="s">
        <v>158</v>
      </c>
      <c r="I1154" s="237" t="s">
        <v>102</v>
      </c>
      <c r="J1154" s="238"/>
      <c r="K1154" s="238"/>
      <c r="L1154" s="238"/>
      <c r="M1154" s="238"/>
      <c r="N1154" s="238"/>
      <c r="O1154" s="238"/>
      <c r="P1154" s="238">
        <f>6287770+294592+1898907</f>
        <v>8481269</v>
      </c>
      <c r="Q1154" s="238">
        <f>6350335+295000+1917801.03</f>
        <v>8563136.0299999993</v>
      </c>
      <c r="R1154" s="238">
        <f>6410001+220000+1935820.47</f>
        <v>8565821.4700000007</v>
      </c>
      <c r="S1154" s="238">
        <v>-100000</v>
      </c>
      <c r="T1154" s="238"/>
      <c r="U1154" s="238"/>
      <c r="V1154" s="238">
        <f t="shared" si="1154"/>
        <v>8381269</v>
      </c>
      <c r="W1154" s="238">
        <f t="shared" si="1154"/>
        <v>8563136.0299999993</v>
      </c>
      <c r="X1154" s="238">
        <f t="shared" si="1154"/>
        <v>8565821.4700000007</v>
      </c>
    </row>
    <row r="1155" spans="1:24" s="229" customFormat="1" ht="25.5" hidden="1">
      <c r="A1155" s="240" t="s">
        <v>260</v>
      </c>
      <c r="B1155" s="227" t="s">
        <v>402</v>
      </c>
      <c r="C1155" s="227" t="s">
        <v>20</v>
      </c>
      <c r="D1155" s="227" t="s">
        <v>16</v>
      </c>
      <c r="E1155" s="227" t="s">
        <v>82</v>
      </c>
      <c r="F1155" s="227" t="s">
        <v>70</v>
      </c>
      <c r="G1155" s="227" t="s">
        <v>148</v>
      </c>
      <c r="H1155" s="227" t="s">
        <v>158</v>
      </c>
      <c r="I1155" s="237" t="s">
        <v>94</v>
      </c>
      <c r="J1155" s="238"/>
      <c r="K1155" s="238"/>
      <c r="L1155" s="238"/>
      <c r="M1155" s="238"/>
      <c r="N1155" s="238"/>
      <c r="O1155" s="238"/>
      <c r="P1155" s="238">
        <f>P1156</f>
        <v>769947</v>
      </c>
      <c r="Q1155" s="238">
        <f t="shared" ref="Q1155:U1155" si="1158">Q1156</f>
        <v>790946.48</v>
      </c>
      <c r="R1155" s="238">
        <f t="shared" si="1158"/>
        <v>778533.94</v>
      </c>
      <c r="S1155" s="238">
        <f t="shared" si="1158"/>
        <v>147500</v>
      </c>
      <c r="T1155" s="238">
        <f t="shared" si="1158"/>
        <v>0</v>
      </c>
      <c r="U1155" s="238">
        <f t="shared" si="1158"/>
        <v>0</v>
      </c>
      <c r="V1155" s="238">
        <f t="shared" si="1154"/>
        <v>917447</v>
      </c>
      <c r="W1155" s="238">
        <f t="shared" si="1154"/>
        <v>790946.48</v>
      </c>
      <c r="X1155" s="238">
        <f t="shared" si="1154"/>
        <v>778533.94</v>
      </c>
    </row>
    <row r="1156" spans="1:24" s="229" customFormat="1" ht="25.5" hidden="1">
      <c r="A1156" s="239" t="s">
        <v>98</v>
      </c>
      <c r="B1156" s="227" t="s">
        <v>402</v>
      </c>
      <c r="C1156" s="227" t="s">
        <v>20</v>
      </c>
      <c r="D1156" s="227" t="s">
        <v>16</v>
      </c>
      <c r="E1156" s="227" t="s">
        <v>82</v>
      </c>
      <c r="F1156" s="227" t="s">
        <v>70</v>
      </c>
      <c r="G1156" s="227" t="s">
        <v>148</v>
      </c>
      <c r="H1156" s="227" t="s">
        <v>158</v>
      </c>
      <c r="I1156" s="237" t="s">
        <v>95</v>
      </c>
      <c r="J1156" s="238"/>
      <c r="K1156" s="238"/>
      <c r="L1156" s="238"/>
      <c r="M1156" s="238"/>
      <c r="N1156" s="238"/>
      <c r="O1156" s="238"/>
      <c r="P1156" s="238">
        <f>264460+505487</f>
        <v>769947</v>
      </c>
      <c r="Q1156" s="238">
        <f>276830+514116.48</f>
        <v>790946.48</v>
      </c>
      <c r="R1156" s="238">
        <f>210710+567823.94</f>
        <v>778533.94</v>
      </c>
      <c r="S1156" s="238">
        <f>100000+25000+22500</f>
        <v>147500</v>
      </c>
      <c r="T1156" s="238"/>
      <c r="U1156" s="238"/>
      <c r="V1156" s="238">
        <f t="shared" si="1154"/>
        <v>917447</v>
      </c>
      <c r="W1156" s="238">
        <f t="shared" si="1154"/>
        <v>790946.48</v>
      </c>
      <c r="X1156" s="238">
        <f t="shared" si="1154"/>
        <v>778533.94</v>
      </c>
    </row>
    <row r="1157" spans="1:24" s="229" customFormat="1" hidden="1">
      <c r="A1157" s="239" t="s">
        <v>80</v>
      </c>
      <c r="B1157" s="227" t="s">
        <v>402</v>
      </c>
      <c r="C1157" s="227" t="s">
        <v>20</v>
      </c>
      <c r="D1157" s="227" t="s">
        <v>16</v>
      </c>
      <c r="E1157" s="227" t="s">
        <v>82</v>
      </c>
      <c r="F1157" s="227" t="s">
        <v>70</v>
      </c>
      <c r="G1157" s="227" t="s">
        <v>148</v>
      </c>
      <c r="H1157" s="227" t="s">
        <v>158</v>
      </c>
      <c r="I1157" s="237" t="s">
        <v>77</v>
      </c>
      <c r="J1157" s="238"/>
      <c r="K1157" s="238"/>
      <c r="L1157" s="238"/>
      <c r="M1157" s="238"/>
      <c r="N1157" s="238"/>
      <c r="O1157" s="238"/>
      <c r="P1157" s="238">
        <f>P1158</f>
        <v>21000</v>
      </c>
      <c r="Q1157" s="238">
        <f t="shared" ref="Q1157:U1157" si="1159">Q1158</f>
        <v>21000</v>
      </c>
      <c r="R1157" s="238">
        <f t="shared" si="1159"/>
        <v>21000</v>
      </c>
      <c r="S1157" s="238">
        <f t="shared" si="1159"/>
        <v>0</v>
      </c>
      <c r="T1157" s="238">
        <f t="shared" si="1159"/>
        <v>0</v>
      </c>
      <c r="U1157" s="238">
        <f t="shared" si="1159"/>
        <v>0</v>
      </c>
      <c r="V1157" s="238">
        <f t="shared" si="1154"/>
        <v>21000</v>
      </c>
      <c r="W1157" s="238">
        <f t="shared" si="1154"/>
        <v>21000</v>
      </c>
      <c r="X1157" s="238">
        <f t="shared" si="1154"/>
        <v>21000</v>
      </c>
    </row>
    <row r="1158" spans="1:24" s="229" customFormat="1" hidden="1">
      <c r="A1158" s="241" t="s">
        <v>125</v>
      </c>
      <c r="B1158" s="227" t="s">
        <v>402</v>
      </c>
      <c r="C1158" s="227" t="s">
        <v>20</v>
      </c>
      <c r="D1158" s="227" t="s">
        <v>16</v>
      </c>
      <c r="E1158" s="227" t="s">
        <v>82</v>
      </c>
      <c r="F1158" s="227" t="s">
        <v>70</v>
      </c>
      <c r="G1158" s="227" t="s">
        <v>148</v>
      </c>
      <c r="H1158" s="227" t="s">
        <v>158</v>
      </c>
      <c r="I1158" s="237" t="s">
        <v>124</v>
      </c>
      <c r="J1158" s="238"/>
      <c r="K1158" s="238"/>
      <c r="L1158" s="238"/>
      <c r="M1158" s="238"/>
      <c r="N1158" s="238"/>
      <c r="O1158" s="238"/>
      <c r="P1158" s="238">
        <v>21000</v>
      </c>
      <c r="Q1158" s="238">
        <v>21000</v>
      </c>
      <c r="R1158" s="238">
        <v>21000</v>
      </c>
      <c r="S1158" s="238"/>
      <c r="T1158" s="238"/>
      <c r="U1158" s="238"/>
      <c r="V1158" s="238">
        <f t="shared" si="1154"/>
        <v>21000</v>
      </c>
      <c r="W1158" s="238">
        <f t="shared" si="1154"/>
        <v>21000</v>
      </c>
      <c r="X1158" s="238">
        <f t="shared" si="1154"/>
        <v>21000</v>
      </c>
    </row>
    <row r="1159" spans="1:24" s="229" customFormat="1" hidden="1">
      <c r="A1159" s="230" t="s">
        <v>1</v>
      </c>
      <c r="B1159" s="231" t="s">
        <v>402</v>
      </c>
      <c r="C1159" s="231" t="s">
        <v>20</v>
      </c>
      <c r="D1159" s="231" t="s">
        <v>49</v>
      </c>
      <c r="E1159" s="231"/>
      <c r="F1159" s="231"/>
      <c r="G1159" s="231"/>
      <c r="H1159" s="227"/>
      <c r="I1159" s="237"/>
      <c r="J1159" s="234"/>
      <c r="K1159" s="234"/>
      <c r="L1159" s="234"/>
      <c r="M1159" s="234"/>
      <c r="N1159" s="234"/>
      <c r="O1159" s="234"/>
      <c r="P1159" s="234">
        <f>P1160</f>
        <v>485806.32</v>
      </c>
      <c r="Q1159" s="234">
        <f t="shared" ref="Q1159:U1163" si="1160">Q1160</f>
        <v>0</v>
      </c>
      <c r="R1159" s="234">
        <f t="shared" si="1160"/>
        <v>0</v>
      </c>
      <c r="S1159" s="234">
        <f t="shared" si="1160"/>
        <v>106640.41</v>
      </c>
      <c r="T1159" s="234">
        <f t="shared" si="1160"/>
        <v>0</v>
      </c>
      <c r="U1159" s="234">
        <f t="shared" si="1160"/>
        <v>0</v>
      </c>
      <c r="V1159" s="234">
        <f t="shared" si="1154"/>
        <v>592446.73</v>
      </c>
      <c r="W1159" s="234">
        <f t="shared" si="1154"/>
        <v>0</v>
      </c>
      <c r="X1159" s="234">
        <f t="shared" si="1154"/>
        <v>0</v>
      </c>
    </row>
    <row r="1160" spans="1:24" s="229" customFormat="1" ht="38.25" hidden="1">
      <c r="A1160" s="241" t="s">
        <v>294</v>
      </c>
      <c r="B1160" s="247" t="s">
        <v>402</v>
      </c>
      <c r="C1160" s="247" t="s">
        <v>20</v>
      </c>
      <c r="D1160" s="247" t="s">
        <v>49</v>
      </c>
      <c r="E1160" s="227" t="s">
        <v>19</v>
      </c>
      <c r="F1160" s="227" t="s">
        <v>70</v>
      </c>
      <c r="G1160" s="227" t="s">
        <v>148</v>
      </c>
      <c r="H1160" s="247" t="s">
        <v>149</v>
      </c>
      <c r="I1160" s="248"/>
      <c r="J1160" s="238"/>
      <c r="K1160" s="238"/>
      <c r="L1160" s="238"/>
      <c r="M1160" s="238"/>
      <c r="N1160" s="238"/>
      <c r="O1160" s="238"/>
      <c r="P1160" s="238">
        <f>P1161</f>
        <v>485806.32</v>
      </c>
      <c r="Q1160" s="238">
        <f t="shared" si="1160"/>
        <v>0</v>
      </c>
      <c r="R1160" s="238">
        <f t="shared" si="1160"/>
        <v>0</v>
      </c>
      <c r="S1160" s="238">
        <f t="shared" si="1160"/>
        <v>106640.41</v>
      </c>
      <c r="T1160" s="238">
        <f t="shared" si="1160"/>
        <v>0</v>
      </c>
      <c r="U1160" s="238">
        <f t="shared" si="1160"/>
        <v>0</v>
      </c>
      <c r="V1160" s="238">
        <f t="shared" si="1154"/>
        <v>592446.73</v>
      </c>
      <c r="W1160" s="238">
        <f t="shared" si="1154"/>
        <v>0</v>
      </c>
      <c r="X1160" s="238">
        <f t="shared" si="1154"/>
        <v>0</v>
      </c>
    </row>
    <row r="1161" spans="1:24" s="229" customFormat="1" ht="25.5" hidden="1">
      <c r="A1161" s="241" t="s">
        <v>296</v>
      </c>
      <c r="B1161" s="247" t="s">
        <v>402</v>
      </c>
      <c r="C1161" s="247" t="s">
        <v>20</v>
      </c>
      <c r="D1161" s="247" t="s">
        <v>49</v>
      </c>
      <c r="E1161" s="227" t="s">
        <v>19</v>
      </c>
      <c r="F1161" s="227" t="s">
        <v>127</v>
      </c>
      <c r="G1161" s="227" t="s">
        <v>148</v>
      </c>
      <c r="H1161" s="247" t="s">
        <v>149</v>
      </c>
      <c r="I1161" s="248"/>
      <c r="J1161" s="238"/>
      <c r="K1161" s="238"/>
      <c r="L1161" s="238"/>
      <c r="M1161" s="238"/>
      <c r="N1161" s="238"/>
      <c r="O1161" s="238"/>
      <c r="P1161" s="238">
        <f>P1162</f>
        <v>485806.32</v>
      </c>
      <c r="Q1161" s="238">
        <f t="shared" si="1160"/>
        <v>0</v>
      </c>
      <c r="R1161" s="238">
        <f t="shared" si="1160"/>
        <v>0</v>
      </c>
      <c r="S1161" s="238">
        <f t="shared" si="1160"/>
        <v>106640.41</v>
      </c>
      <c r="T1161" s="238">
        <f t="shared" si="1160"/>
        <v>0</v>
      </c>
      <c r="U1161" s="238">
        <f t="shared" si="1160"/>
        <v>0</v>
      </c>
      <c r="V1161" s="238">
        <f t="shared" si="1154"/>
        <v>592446.73</v>
      </c>
      <c r="W1161" s="238">
        <f t="shared" si="1154"/>
        <v>0</v>
      </c>
      <c r="X1161" s="238">
        <f t="shared" si="1154"/>
        <v>0</v>
      </c>
    </row>
    <row r="1162" spans="1:24" s="229" customFormat="1" ht="51" hidden="1">
      <c r="A1162" s="241" t="s">
        <v>299</v>
      </c>
      <c r="B1162" s="247" t="s">
        <v>402</v>
      </c>
      <c r="C1162" s="247" t="s">
        <v>20</v>
      </c>
      <c r="D1162" s="247" t="s">
        <v>49</v>
      </c>
      <c r="E1162" s="227" t="s">
        <v>19</v>
      </c>
      <c r="F1162" s="227" t="s">
        <v>127</v>
      </c>
      <c r="G1162" s="227" t="s">
        <v>148</v>
      </c>
      <c r="H1162" s="247" t="s">
        <v>298</v>
      </c>
      <c r="I1162" s="248"/>
      <c r="J1162" s="238"/>
      <c r="K1162" s="238"/>
      <c r="L1162" s="238"/>
      <c r="M1162" s="238"/>
      <c r="N1162" s="238"/>
      <c r="O1162" s="238"/>
      <c r="P1162" s="238">
        <f>P1163</f>
        <v>485806.32</v>
      </c>
      <c r="Q1162" s="238">
        <f t="shared" si="1160"/>
        <v>0</v>
      </c>
      <c r="R1162" s="238">
        <f t="shared" si="1160"/>
        <v>0</v>
      </c>
      <c r="S1162" s="238">
        <f t="shared" si="1160"/>
        <v>106640.41</v>
      </c>
      <c r="T1162" s="238">
        <f t="shared" si="1160"/>
        <v>0</v>
      </c>
      <c r="U1162" s="238">
        <f t="shared" si="1160"/>
        <v>0</v>
      </c>
      <c r="V1162" s="238">
        <f t="shared" si="1154"/>
        <v>592446.73</v>
      </c>
      <c r="W1162" s="238">
        <f t="shared" si="1154"/>
        <v>0</v>
      </c>
      <c r="X1162" s="238">
        <f t="shared" si="1154"/>
        <v>0</v>
      </c>
    </row>
    <row r="1163" spans="1:24" s="229" customFormat="1" hidden="1">
      <c r="A1163" s="235" t="s">
        <v>100</v>
      </c>
      <c r="B1163" s="247" t="s">
        <v>402</v>
      </c>
      <c r="C1163" s="247" t="s">
        <v>20</v>
      </c>
      <c r="D1163" s="247" t="s">
        <v>49</v>
      </c>
      <c r="E1163" s="227" t="s">
        <v>19</v>
      </c>
      <c r="F1163" s="227" t="s">
        <v>127</v>
      </c>
      <c r="G1163" s="227" t="s">
        <v>148</v>
      </c>
      <c r="H1163" s="247" t="s">
        <v>298</v>
      </c>
      <c r="I1163" s="248" t="s">
        <v>99</v>
      </c>
      <c r="J1163" s="238"/>
      <c r="K1163" s="238"/>
      <c r="L1163" s="238"/>
      <c r="M1163" s="238"/>
      <c r="N1163" s="238"/>
      <c r="O1163" s="238"/>
      <c r="P1163" s="238">
        <f>P1164</f>
        <v>485806.32</v>
      </c>
      <c r="Q1163" s="238">
        <f t="shared" si="1160"/>
        <v>0</v>
      </c>
      <c r="R1163" s="238">
        <f t="shared" si="1160"/>
        <v>0</v>
      </c>
      <c r="S1163" s="238">
        <f t="shared" si="1160"/>
        <v>106640.41</v>
      </c>
      <c r="T1163" s="238">
        <f t="shared" si="1160"/>
        <v>0</v>
      </c>
      <c r="U1163" s="238">
        <f t="shared" si="1160"/>
        <v>0</v>
      </c>
      <c r="V1163" s="238">
        <f t="shared" si="1154"/>
        <v>592446.73</v>
      </c>
      <c r="W1163" s="238">
        <f t="shared" si="1154"/>
        <v>0</v>
      </c>
      <c r="X1163" s="238">
        <f t="shared" si="1154"/>
        <v>0</v>
      </c>
    </row>
    <row r="1164" spans="1:24" s="229" customFormat="1" ht="25.5" hidden="1">
      <c r="A1164" s="235" t="s">
        <v>106</v>
      </c>
      <c r="B1164" s="247" t="s">
        <v>402</v>
      </c>
      <c r="C1164" s="247" t="s">
        <v>20</v>
      </c>
      <c r="D1164" s="247" t="s">
        <v>49</v>
      </c>
      <c r="E1164" s="227" t="s">
        <v>19</v>
      </c>
      <c r="F1164" s="227" t="s">
        <v>127</v>
      </c>
      <c r="G1164" s="227" t="s">
        <v>148</v>
      </c>
      <c r="H1164" s="247" t="s">
        <v>298</v>
      </c>
      <c r="I1164" s="248" t="s">
        <v>107</v>
      </c>
      <c r="J1164" s="238"/>
      <c r="K1164" s="238"/>
      <c r="L1164" s="238"/>
      <c r="M1164" s="238"/>
      <c r="N1164" s="238"/>
      <c r="O1164" s="238"/>
      <c r="P1164" s="238">
        <v>485806.32</v>
      </c>
      <c r="Q1164" s="238">
        <f t="shared" ref="Q1164:R1164" si="1161">K1164+N1164</f>
        <v>0</v>
      </c>
      <c r="R1164" s="238">
        <f t="shared" si="1161"/>
        <v>0</v>
      </c>
      <c r="S1164" s="238">
        <v>106640.41</v>
      </c>
      <c r="T1164" s="238"/>
      <c r="U1164" s="238"/>
      <c r="V1164" s="238">
        <f t="shared" si="1154"/>
        <v>592446.73</v>
      </c>
      <c r="W1164" s="238">
        <f t="shared" si="1154"/>
        <v>0</v>
      </c>
      <c r="X1164" s="238">
        <f t="shared" si="1154"/>
        <v>0</v>
      </c>
    </row>
    <row r="1165" spans="1:24" s="229" customFormat="1" ht="15.75" hidden="1">
      <c r="A1165" s="249" t="s">
        <v>54</v>
      </c>
      <c r="B1165" s="226" t="s">
        <v>402</v>
      </c>
      <c r="C1165" s="226" t="s">
        <v>17</v>
      </c>
      <c r="D1165" s="227"/>
      <c r="E1165" s="227"/>
      <c r="F1165" s="227"/>
      <c r="G1165" s="227"/>
      <c r="H1165" s="227"/>
      <c r="I1165" s="237"/>
      <c r="J1165" s="228"/>
      <c r="K1165" s="228"/>
      <c r="L1165" s="228"/>
      <c r="M1165" s="228"/>
      <c r="N1165" s="228"/>
      <c r="O1165" s="228"/>
      <c r="P1165" s="228">
        <f>P1166</f>
        <v>126645.44</v>
      </c>
      <c r="Q1165" s="228">
        <f t="shared" ref="Q1165:U1167" si="1162">Q1166</f>
        <v>0</v>
      </c>
      <c r="R1165" s="228">
        <f t="shared" si="1162"/>
        <v>0</v>
      </c>
      <c r="S1165" s="228">
        <f t="shared" si="1162"/>
        <v>0</v>
      </c>
      <c r="T1165" s="228">
        <f t="shared" si="1162"/>
        <v>0</v>
      </c>
      <c r="U1165" s="228">
        <f t="shared" si="1162"/>
        <v>0</v>
      </c>
      <c r="V1165" s="228">
        <f t="shared" ref="V1165:X1180" si="1163">P1165+S1165</f>
        <v>126645.44</v>
      </c>
      <c r="W1165" s="228">
        <f t="shared" si="1163"/>
        <v>0</v>
      </c>
      <c r="X1165" s="228">
        <f t="shared" si="1163"/>
        <v>0</v>
      </c>
    </row>
    <row r="1166" spans="1:24" s="229" customFormat="1" hidden="1">
      <c r="A1166" s="250" t="s">
        <v>55</v>
      </c>
      <c r="B1166" s="232" t="s">
        <v>402</v>
      </c>
      <c r="C1166" s="232" t="s">
        <v>17</v>
      </c>
      <c r="D1166" s="232" t="s">
        <v>13</v>
      </c>
      <c r="E1166" s="232"/>
      <c r="F1166" s="232"/>
      <c r="G1166" s="232"/>
      <c r="H1166" s="232"/>
      <c r="I1166" s="233"/>
      <c r="J1166" s="234"/>
      <c r="K1166" s="234"/>
      <c r="L1166" s="234"/>
      <c r="M1166" s="234"/>
      <c r="N1166" s="234"/>
      <c r="O1166" s="234"/>
      <c r="P1166" s="234">
        <f>P1167</f>
        <v>126645.44</v>
      </c>
      <c r="Q1166" s="234">
        <f t="shared" si="1162"/>
        <v>0</v>
      </c>
      <c r="R1166" s="234">
        <f t="shared" si="1162"/>
        <v>0</v>
      </c>
      <c r="S1166" s="234">
        <f t="shared" si="1162"/>
        <v>0</v>
      </c>
      <c r="T1166" s="234">
        <f t="shared" si="1162"/>
        <v>0</v>
      </c>
      <c r="U1166" s="234">
        <f t="shared" si="1162"/>
        <v>0</v>
      </c>
      <c r="V1166" s="234">
        <f t="shared" si="1163"/>
        <v>126645.44</v>
      </c>
      <c r="W1166" s="234">
        <f t="shared" si="1163"/>
        <v>0</v>
      </c>
      <c r="X1166" s="234">
        <f t="shared" si="1163"/>
        <v>0</v>
      </c>
    </row>
    <row r="1167" spans="1:24" s="229" customFormat="1" hidden="1">
      <c r="A1167" s="235" t="s">
        <v>83</v>
      </c>
      <c r="B1167" s="247" t="s">
        <v>402</v>
      </c>
      <c r="C1167" s="227" t="s">
        <v>17</v>
      </c>
      <c r="D1167" s="227" t="s">
        <v>13</v>
      </c>
      <c r="E1167" s="227" t="s">
        <v>82</v>
      </c>
      <c r="F1167" s="227" t="s">
        <v>70</v>
      </c>
      <c r="G1167" s="227" t="s">
        <v>148</v>
      </c>
      <c r="H1167" s="227" t="s">
        <v>149</v>
      </c>
      <c r="I1167" s="237"/>
      <c r="J1167" s="244"/>
      <c r="K1167" s="244"/>
      <c r="L1167" s="244"/>
      <c r="M1167" s="244"/>
      <c r="N1167" s="244"/>
      <c r="O1167" s="244"/>
      <c r="P1167" s="244">
        <f>P1168</f>
        <v>126645.44</v>
      </c>
      <c r="Q1167" s="244">
        <f t="shared" si="1162"/>
        <v>0</v>
      </c>
      <c r="R1167" s="244">
        <f t="shared" si="1162"/>
        <v>0</v>
      </c>
      <c r="S1167" s="244">
        <f t="shared" si="1162"/>
        <v>0</v>
      </c>
      <c r="T1167" s="244">
        <f t="shared" si="1162"/>
        <v>0</v>
      </c>
      <c r="U1167" s="244">
        <f t="shared" si="1162"/>
        <v>0</v>
      </c>
      <c r="V1167" s="244">
        <f t="shared" si="1163"/>
        <v>126645.44</v>
      </c>
      <c r="W1167" s="244">
        <f t="shared" si="1163"/>
        <v>0</v>
      </c>
      <c r="X1167" s="244">
        <f t="shared" si="1163"/>
        <v>0</v>
      </c>
    </row>
    <row r="1168" spans="1:24" s="229" customFormat="1" ht="25.5" hidden="1">
      <c r="A1168" s="235" t="s">
        <v>304</v>
      </c>
      <c r="B1168" s="247" t="s">
        <v>402</v>
      </c>
      <c r="C1168" s="227" t="s">
        <v>17</v>
      </c>
      <c r="D1168" s="227" t="s">
        <v>13</v>
      </c>
      <c r="E1168" s="227" t="s">
        <v>82</v>
      </c>
      <c r="F1168" s="227" t="s">
        <v>70</v>
      </c>
      <c r="G1168" s="227" t="s">
        <v>148</v>
      </c>
      <c r="H1168" s="227" t="s">
        <v>305</v>
      </c>
      <c r="I1168" s="237"/>
      <c r="J1168" s="244"/>
      <c r="K1168" s="244"/>
      <c r="L1168" s="244"/>
      <c r="M1168" s="244"/>
      <c r="N1168" s="244"/>
      <c r="O1168" s="244"/>
      <c r="P1168" s="244">
        <f>P1169+P1171</f>
        <v>126645.44</v>
      </c>
      <c r="Q1168" s="244">
        <f t="shared" ref="Q1168:U1168" si="1164">Q1169+Q1171</f>
        <v>0</v>
      </c>
      <c r="R1168" s="244">
        <f t="shared" si="1164"/>
        <v>0</v>
      </c>
      <c r="S1168" s="244">
        <f t="shared" si="1164"/>
        <v>0</v>
      </c>
      <c r="T1168" s="244">
        <f t="shared" si="1164"/>
        <v>0</v>
      </c>
      <c r="U1168" s="244">
        <f t="shared" si="1164"/>
        <v>0</v>
      </c>
      <c r="V1168" s="244">
        <f t="shared" si="1163"/>
        <v>126645.44</v>
      </c>
      <c r="W1168" s="244">
        <f t="shared" si="1163"/>
        <v>0</v>
      </c>
      <c r="X1168" s="244">
        <f t="shared" si="1163"/>
        <v>0</v>
      </c>
    </row>
    <row r="1169" spans="1:24" s="229" customFormat="1" ht="38.25" hidden="1">
      <c r="A1169" s="239" t="s">
        <v>96</v>
      </c>
      <c r="B1169" s="247" t="s">
        <v>402</v>
      </c>
      <c r="C1169" s="227" t="s">
        <v>17</v>
      </c>
      <c r="D1169" s="227" t="s">
        <v>13</v>
      </c>
      <c r="E1169" s="227" t="s">
        <v>82</v>
      </c>
      <c r="F1169" s="227" t="s">
        <v>70</v>
      </c>
      <c r="G1169" s="227" t="s">
        <v>148</v>
      </c>
      <c r="H1169" s="227" t="s">
        <v>305</v>
      </c>
      <c r="I1169" s="237" t="s">
        <v>92</v>
      </c>
      <c r="J1169" s="244"/>
      <c r="K1169" s="244"/>
      <c r="L1169" s="244"/>
      <c r="M1169" s="244"/>
      <c r="N1169" s="244"/>
      <c r="O1169" s="244"/>
      <c r="P1169" s="244">
        <f>P1170</f>
        <v>78120</v>
      </c>
      <c r="Q1169" s="244">
        <f t="shared" ref="Q1169:U1169" si="1165">Q1170</f>
        <v>0</v>
      </c>
      <c r="R1169" s="244">
        <f t="shared" si="1165"/>
        <v>0</v>
      </c>
      <c r="S1169" s="244">
        <f t="shared" si="1165"/>
        <v>0</v>
      </c>
      <c r="T1169" s="244">
        <f t="shared" si="1165"/>
        <v>0</v>
      </c>
      <c r="U1169" s="244">
        <f t="shared" si="1165"/>
        <v>0</v>
      </c>
      <c r="V1169" s="244">
        <f t="shared" si="1163"/>
        <v>78120</v>
      </c>
      <c r="W1169" s="244">
        <f t="shared" si="1163"/>
        <v>0</v>
      </c>
      <c r="X1169" s="244">
        <f t="shared" si="1163"/>
        <v>0</v>
      </c>
    </row>
    <row r="1170" spans="1:24" s="229" customFormat="1" hidden="1">
      <c r="A1170" s="239" t="s">
        <v>103</v>
      </c>
      <c r="B1170" s="247" t="s">
        <v>402</v>
      </c>
      <c r="C1170" s="227" t="s">
        <v>17</v>
      </c>
      <c r="D1170" s="227" t="s">
        <v>13</v>
      </c>
      <c r="E1170" s="227" t="s">
        <v>82</v>
      </c>
      <c r="F1170" s="227" t="s">
        <v>70</v>
      </c>
      <c r="G1170" s="227" t="s">
        <v>148</v>
      </c>
      <c r="H1170" s="227" t="s">
        <v>305</v>
      </c>
      <c r="I1170" s="237" t="s">
        <v>102</v>
      </c>
      <c r="J1170" s="244"/>
      <c r="K1170" s="244"/>
      <c r="L1170" s="244"/>
      <c r="M1170" s="244"/>
      <c r="N1170" s="244"/>
      <c r="O1170" s="244"/>
      <c r="P1170" s="244">
        <f>60000+18120</f>
        <v>78120</v>
      </c>
      <c r="Q1170" s="244"/>
      <c r="R1170" s="244"/>
      <c r="S1170" s="244"/>
      <c r="T1170" s="244"/>
      <c r="U1170" s="244"/>
      <c r="V1170" s="244">
        <f t="shared" si="1163"/>
        <v>78120</v>
      </c>
      <c r="W1170" s="244">
        <f t="shared" si="1163"/>
        <v>0</v>
      </c>
      <c r="X1170" s="244">
        <f t="shared" si="1163"/>
        <v>0</v>
      </c>
    </row>
    <row r="1171" spans="1:24" s="229" customFormat="1" ht="25.5" hidden="1">
      <c r="A1171" s="240" t="s">
        <v>260</v>
      </c>
      <c r="B1171" s="247" t="s">
        <v>402</v>
      </c>
      <c r="C1171" s="227" t="s">
        <v>17</v>
      </c>
      <c r="D1171" s="227" t="s">
        <v>13</v>
      </c>
      <c r="E1171" s="227" t="s">
        <v>82</v>
      </c>
      <c r="F1171" s="227" t="s">
        <v>70</v>
      </c>
      <c r="G1171" s="227" t="s">
        <v>148</v>
      </c>
      <c r="H1171" s="227" t="s">
        <v>305</v>
      </c>
      <c r="I1171" s="237" t="s">
        <v>94</v>
      </c>
      <c r="J1171" s="244"/>
      <c r="K1171" s="244"/>
      <c r="L1171" s="244"/>
      <c r="M1171" s="244"/>
      <c r="N1171" s="244"/>
      <c r="O1171" s="244"/>
      <c r="P1171" s="244">
        <f>P1172</f>
        <v>48525.440000000002</v>
      </c>
      <c r="Q1171" s="244">
        <f t="shared" ref="Q1171:U1171" si="1166">Q1172</f>
        <v>0</v>
      </c>
      <c r="R1171" s="244">
        <f t="shared" si="1166"/>
        <v>0</v>
      </c>
      <c r="S1171" s="244">
        <f t="shared" si="1166"/>
        <v>0</v>
      </c>
      <c r="T1171" s="244">
        <f t="shared" si="1166"/>
        <v>0</v>
      </c>
      <c r="U1171" s="244">
        <f t="shared" si="1166"/>
        <v>0</v>
      </c>
      <c r="V1171" s="244">
        <f t="shared" si="1163"/>
        <v>48525.440000000002</v>
      </c>
      <c r="W1171" s="244">
        <f t="shared" si="1163"/>
        <v>0</v>
      </c>
      <c r="X1171" s="244">
        <f t="shared" si="1163"/>
        <v>0</v>
      </c>
    </row>
    <row r="1172" spans="1:24" s="229" customFormat="1" ht="25.5" hidden="1">
      <c r="A1172" s="239" t="s">
        <v>98</v>
      </c>
      <c r="B1172" s="247" t="s">
        <v>402</v>
      </c>
      <c r="C1172" s="227" t="s">
        <v>17</v>
      </c>
      <c r="D1172" s="227" t="s">
        <v>13</v>
      </c>
      <c r="E1172" s="227" t="s">
        <v>82</v>
      </c>
      <c r="F1172" s="227" t="s">
        <v>70</v>
      </c>
      <c r="G1172" s="227" t="s">
        <v>148</v>
      </c>
      <c r="H1172" s="227" t="s">
        <v>305</v>
      </c>
      <c r="I1172" s="237" t="s">
        <v>95</v>
      </c>
      <c r="J1172" s="244"/>
      <c r="K1172" s="244"/>
      <c r="L1172" s="244"/>
      <c r="M1172" s="244"/>
      <c r="N1172" s="244"/>
      <c r="O1172" s="244"/>
      <c r="P1172" s="244">
        <v>48525.440000000002</v>
      </c>
      <c r="Q1172" s="244"/>
      <c r="R1172" s="244"/>
      <c r="S1172" s="244"/>
      <c r="T1172" s="244"/>
      <c r="U1172" s="244"/>
      <c r="V1172" s="244">
        <f t="shared" si="1163"/>
        <v>48525.440000000002</v>
      </c>
      <c r="W1172" s="244">
        <f t="shared" si="1163"/>
        <v>0</v>
      </c>
      <c r="X1172" s="244">
        <f t="shared" si="1163"/>
        <v>0</v>
      </c>
    </row>
    <row r="1173" spans="1:24" s="255" customFormat="1" ht="31.5" hidden="1">
      <c r="A1173" s="249" t="s">
        <v>26</v>
      </c>
      <c r="B1173" s="251" t="s">
        <v>402</v>
      </c>
      <c r="C1173" s="251" t="s">
        <v>13</v>
      </c>
      <c r="D1173" s="252"/>
      <c r="E1173" s="252"/>
      <c r="F1173" s="252"/>
      <c r="G1173" s="252"/>
      <c r="H1173" s="252"/>
      <c r="I1173" s="253"/>
      <c r="J1173" s="254"/>
      <c r="K1173" s="254"/>
      <c r="L1173" s="254"/>
      <c r="M1173" s="254"/>
      <c r="N1173" s="254"/>
      <c r="O1173" s="254"/>
      <c r="P1173" s="254">
        <f>P1174</f>
        <v>358000</v>
      </c>
      <c r="Q1173" s="254">
        <f t="shared" ref="Q1173:U1177" si="1167">Q1174</f>
        <v>0</v>
      </c>
      <c r="R1173" s="254">
        <f t="shared" si="1167"/>
        <v>0</v>
      </c>
      <c r="S1173" s="254">
        <f t="shared" si="1167"/>
        <v>0</v>
      </c>
      <c r="T1173" s="254">
        <f t="shared" si="1167"/>
        <v>0</v>
      </c>
      <c r="U1173" s="254">
        <f t="shared" si="1167"/>
        <v>0</v>
      </c>
      <c r="V1173" s="254">
        <f t="shared" si="1163"/>
        <v>358000</v>
      </c>
      <c r="W1173" s="254">
        <f t="shared" si="1163"/>
        <v>0</v>
      </c>
      <c r="X1173" s="254">
        <f t="shared" si="1163"/>
        <v>0</v>
      </c>
    </row>
    <row r="1174" spans="1:24" s="229" customFormat="1" ht="38.25" hidden="1">
      <c r="A1174" s="256" t="s">
        <v>230</v>
      </c>
      <c r="B1174" s="257" t="s">
        <v>402</v>
      </c>
      <c r="C1174" s="257" t="s">
        <v>13</v>
      </c>
      <c r="D1174" s="257" t="s">
        <v>30</v>
      </c>
      <c r="E1174" s="257"/>
      <c r="F1174" s="257"/>
      <c r="G1174" s="257"/>
      <c r="H1174" s="257"/>
      <c r="I1174" s="258"/>
      <c r="J1174" s="259"/>
      <c r="K1174" s="259"/>
      <c r="L1174" s="259"/>
      <c r="M1174" s="259"/>
      <c r="N1174" s="259"/>
      <c r="O1174" s="259"/>
      <c r="P1174" s="259">
        <f>P1175</f>
        <v>358000</v>
      </c>
      <c r="Q1174" s="259">
        <f t="shared" si="1167"/>
        <v>0</v>
      </c>
      <c r="R1174" s="259">
        <f t="shared" si="1167"/>
        <v>0</v>
      </c>
      <c r="S1174" s="259">
        <f t="shared" si="1167"/>
        <v>0</v>
      </c>
      <c r="T1174" s="259">
        <f t="shared" si="1167"/>
        <v>0</v>
      </c>
      <c r="U1174" s="259">
        <f t="shared" si="1167"/>
        <v>0</v>
      </c>
      <c r="V1174" s="259">
        <f t="shared" si="1163"/>
        <v>358000</v>
      </c>
      <c r="W1174" s="259">
        <f t="shared" si="1163"/>
        <v>0</v>
      </c>
      <c r="X1174" s="259">
        <f t="shared" si="1163"/>
        <v>0</v>
      </c>
    </row>
    <row r="1175" spans="1:24" s="229" customFormat="1" hidden="1">
      <c r="A1175" s="260" t="s">
        <v>290</v>
      </c>
      <c r="B1175" s="261" t="s">
        <v>402</v>
      </c>
      <c r="C1175" s="261" t="s">
        <v>13</v>
      </c>
      <c r="D1175" s="261" t="s">
        <v>30</v>
      </c>
      <c r="E1175" s="261" t="s">
        <v>214</v>
      </c>
      <c r="F1175" s="261" t="s">
        <v>70</v>
      </c>
      <c r="G1175" s="261" t="s">
        <v>148</v>
      </c>
      <c r="H1175" s="261" t="s">
        <v>149</v>
      </c>
      <c r="I1175" s="262"/>
      <c r="J1175" s="263"/>
      <c r="K1175" s="263"/>
      <c r="L1175" s="263"/>
      <c r="M1175" s="263"/>
      <c r="N1175" s="263"/>
      <c r="O1175" s="263"/>
      <c r="P1175" s="263">
        <f>P1176</f>
        <v>358000</v>
      </c>
      <c r="Q1175" s="263">
        <f t="shared" si="1167"/>
        <v>0</v>
      </c>
      <c r="R1175" s="263">
        <f t="shared" si="1167"/>
        <v>0</v>
      </c>
      <c r="S1175" s="263">
        <f t="shared" si="1167"/>
        <v>0</v>
      </c>
      <c r="T1175" s="263">
        <f t="shared" si="1167"/>
        <v>0</v>
      </c>
      <c r="U1175" s="263">
        <f t="shared" si="1167"/>
        <v>0</v>
      </c>
      <c r="V1175" s="263">
        <f t="shared" si="1163"/>
        <v>358000</v>
      </c>
      <c r="W1175" s="263">
        <f t="shared" si="1163"/>
        <v>0</v>
      </c>
      <c r="X1175" s="263">
        <f t="shared" si="1163"/>
        <v>0</v>
      </c>
    </row>
    <row r="1176" spans="1:24" s="229" customFormat="1" hidden="1">
      <c r="A1176" s="241" t="s">
        <v>336</v>
      </c>
      <c r="B1176" s="261" t="s">
        <v>402</v>
      </c>
      <c r="C1176" s="261" t="s">
        <v>13</v>
      </c>
      <c r="D1176" s="261" t="s">
        <v>30</v>
      </c>
      <c r="E1176" s="261" t="s">
        <v>214</v>
      </c>
      <c r="F1176" s="261" t="s">
        <v>70</v>
      </c>
      <c r="G1176" s="261" t="s">
        <v>148</v>
      </c>
      <c r="H1176" s="261" t="s">
        <v>335</v>
      </c>
      <c r="I1176" s="262"/>
      <c r="J1176" s="263"/>
      <c r="K1176" s="263"/>
      <c r="L1176" s="263"/>
      <c r="M1176" s="263"/>
      <c r="N1176" s="263"/>
      <c r="O1176" s="263"/>
      <c r="P1176" s="263">
        <f>P1177</f>
        <v>358000</v>
      </c>
      <c r="Q1176" s="263">
        <f t="shared" si="1167"/>
        <v>0</v>
      </c>
      <c r="R1176" s="263">
        <f t="shared" si="1167"/>
        <v>0</v>
      </c>
      <c r="S1176" s="263">
        <f t="shared" si="1167"/>
        <v>0</v>
      </c>
      <c r="T1176" s="263">
        <f t="shared" si="1167"/>
        <v>0</v>
      </c>
      <c r="U1176" s="263">
        <f t="shared" si="1167"/>
        <v>0</v>
      </c>
      <c r="V1176" s="263">
        <f t="shared" si="1163"/>
        <v>358000</v>
      </c>
      <c r="W1176" s="263">
        <f t="shared" si="1163"/>
        <v>0</v>
      </c>
      <c r="X1176" s="263">
        <f t="shared" si="1163"/>
        <v>0</v>
      </c>
    </row>
    <row r="1177" spans="1:24" s="229" customFormat="1" ht="25.5" hidden="1">
      <c r="A1177" s="240" t="s">
        <v>260</v>
      </c>
      <c r="B1177" s="261" t="s">
        <v>402</v>
      </c>
      <c r="C1177" s="261" t="s">
        <v>13</v>
      </c>
      <c r="D1177" s="261" t="s">
        <v>30</v>
      </c>
      <c r="E1177" s="261" t="s">
        <v>214</v>
      </c>
      <c r="F1177" s="261" t="s">
        <v>70</v>
      </c>
      <c r="G1177" s="261" t="s">
        <v>148</v>
      </c>
      <c r="H1177" s="261" t="s">
        <v>335</v>
      </c>
      <c r="I1177" s="262" t="s">
        <v>94</v>
      </c>
      <c r="J1177" s="263"/>
      <c r="K1177" s="263"/>
      <c r="L1177" s="263"/>
      <c r="M1177" s="263"/>
      <c r="N1177" s="263"/>
      <c r="O1177" s="263"/>
      <c r="P1177" s="263">
        <f>P1178</f>
        <v>358000</v>
      </c>
      <c r="Q1177" s="263">
        <f t="shared" si="1167"/>
        <v>0</v>
      </c>
      <c r="R1177" s="263">
        <f t="shared" si="1167"/>
        <v>0</v>
      </c>
      <c r="S1177" s="263">
        <f t="shared" si="1167"/>
        <v>0</v>
      </c>
      <c r="T1177" s="263">
        <f t="shared" si="1167"/>
        <v>0</v>
      </c>
      <c r="U1177" s="263">
        <f t="shared" si="1167"/>
        <v>0</v>
      </c>
      <c r="V1177" s="263">
        <f t="shared" si="1163"/>
        <v>358000</v>
      </c>
      <c r="W1177" s="263">
        <f t="shared" si="1163"/>
        <v>0</v>
      </c>
      <c r="X1177" s="263">
        <f t="shared" si="1163"/>
        <v>0</v>
      </c>
    </row>
    <row r="1178" spans="1:24" s="229" customFormat="1" ht="25.5" hidden="1">
      <c r="A1178" s="239" t="s">
        <v>98</v>
      </c>
      <c r="B1178" s="261" t="s">
        <v>402</v>
      </c>
      <c r="C1178" s="261" t="s">
        <v>13</v>
      </c>
      <c r="D1178" s="261" t="s">
        <v>30</v>
      </c>
      <c r="E1178" s="261" t="s">
        <v>214</v>
      </c>
      <c r="F1178" s="261" t="s">
        <v>70</v>
      </c>
      <c r="G1178" s="261" t="s">
        <v>148</v>
      </c>
      <c r="H1178" s="261" t="s">
        <v>335</v>
      </c>
      <c r="I1178" s="262" t="s">
        <v>95</v>
      </c>
      <c r="J1178" s="263"/>
      <c r="K1178" s="263"/>
      <c r="L1178" s="263"/>
      <c r="M1178" s="263"/>
      <c r="N1178" s="263"/>
      <c r="O1178" s="263"/>
      <c r="P1178" s="263">
        <v>358000</v>
      </c>
      <c r="Q1178" s="263"/>
      <c r="R1178" s="263"/>
      <c r="S1178" s="263"/>
      <c r="T1178" s="263"/>
      <c r="U1178" s="263"/>
      <c r="V1178" s="263">
        <f t="shared" si="1163"/>
        <v>358000</v>
      </c>
      <c r="W1178" s="263">
        <f t="shared" si="1163"/>
        <v>0</v>
      </c>
      <c r="X1178" s="263">
        <f t="shared" si="1163"/>
        <v>0</v>
      </c>
    </row>
    <row r="1179" spans="1:24" s="229" customFormat="1" ht="15.75" hidden="1">
      <c r="A1179" s="225" t="s">
        <v>15</v>
      </c>
      <c r="B1179" s="266" t="s">
        <v>402</v>
      </c>
      <c r="C1179" s="266" t="s">
        <v>16</v>
      </c>
      <c r="D1179" s="247"/>
      <c r="E1179" s="247"/>
      <c r="F1179" s="247"/>
      <c r="G1179" s="247"/>
      <c r="H1179" s="247"/>
      <c r="I1179" s="248"/>
      <c r="J1179" s="228"/>
      <c r="K1179" s="228"/>
      <c r="L1179" s="228"/>
      <c r="M1179" s="228"/>
      <c r="N1179" s="228"/>
      <c r="O1179" s="228"/>
      <c r="P1179" s="228">
        <f>P1180</f>
        <v>9937000</v>
      </c>
      <c r="Q1179" s="228">
        <f t="shared" ref="Q1179:U1181" si="1168">Q1180</f>
        <v>0</v>
      </c>
      <c r="R1179" s="228">
        <f t="shared" si="1168"/>
        <v>0</v>
      </c>
      <c r="S1179" s="228">
        <f t="shared" si="1168"/>
        <v>0</v>
      </c>
      <c r="T1179" s="228">
        <f t="shared" si="1168"/>
        <v>0</v>
      </c>
      <c r="U1179" s="228">
        <f t="shared" si="1168"/>
        <v>0</v>
      </c>
      <c r="V1179" s="228">
        <f t="shared" si="1163"/>
        <v>9937000</v>
      </c>
      <c r="W1179" s="228">
        <f t="shared" si="1163"/>
        <v>0</v>
      </c>
      <c r="X1179" s="228">
        <f t="shared" si="1163"/>
        <v>0</v>
      </c>
    </row>
    <row r="1180" spans="1:24" s="229" customFormat="1" hidden="1">
      <c r="A1180" s="230" t="s">
        <v>60</v>
      </c>
      <c r="B1180" s="231" t="s">
        <v>402</v>
      </c>
      <c r="C1180" s="231" t="s">
        <v>16</v>
      </c>
      <c r="D1180" s="231" t="s">
        <v>14</v>
      </c>
      <c r="E1180" s="231"/>
      <c r="F1180" s="231"/>
      <c r="G1180" s="231"/>
      <c r="H1180" s="227"/>
      <c r="I1180" s="237"/>
      <c r="J1180" s="234"/>
      <c r="K1180" s="234"/>
      <c r="L1180" s="234"/>
      <c r="M1180" s="234"/>
      <c r="N1180" s="234"/>
      <c r="O1180" s="234"/>
      <c r="P1180" s="234">
        <f>P1181</f>
        <v>9937000</v>
      </c>
      <c r="Q1180" s="234">
        <f t="shared" si="1168"/>
        <v>0</v>
      </c>
      <c r="R1180" s="234">
        <f t="shared" si="1168"/>
        <v>0</v>
      </c>
      <c r="S1180" s="234">
        <f t="shared" si="1168"/>
        <v>0</v>
      </c>
      <c r="T1180" s="234">
        <f t="shared" si="1168"/>
        <v>0</v>
      </c>
      <c r="U1180" s="234">
        <f t="shared" si="1168"/>
        <v>0</v>
      </c>
      <c r="V1180" s="234">
        <f t="shared" si="1163"/>
        <v>9937000</v>
      </c>
      <c r="W1180" s="234">
        <f t="shared" si="1163"/>
        <v>0</v>
      </c>
      <c r="X1180" s="234">
        <f t="shared" si="1163"/>
        <v>0</v>
      </c>
    </row>
    <row r="1181" spans="1:24" s="229" customFormat="1" hidden="1">
      <c r="A1181" s="235" t="s">
        <v>84</v>
      </c>
      <c r="B1181" s="227" t="s">
        <v>402</v>
      </c>
      <c r="C1181" s="227" t="s">
        <v>16</v>
      </c>
      <c r="D1181" s="227" t="s">
        <v>14</v>
      </c>
      <c r="E1181" s="227" t="s">
        <v>82</v>
      </c>
      <c r="F1181" s="227" t="s">
        <v>70</v>
      </c>
      <c r="G1181" s="227" t="s">
        <v>148</v>
      </c>
      <c r="H1181" s="227" t="s">
        <v>149</v>
      </c>
      <c r="I1181" s="237"/>
      <c r="J1181" s="238"/>
      <c r="K1181" s="238"/>
      <c r="L1181" s="238"/>
      <c r="M1181" s="238"/>
      <c r="N1181" s="238"/>
      <c r="O1181" s="238"/>
      <c r="P1181" s="238">
        <f>P1182</f>
        <v>9937000</v>
      </c>
      <c r="Q1181" s="238">
        <f t="shared" si="1168"/>
        <v>0</v>
      </c>
      <c r="R1181" s="238">
        <f t="shared" si="1168"/>
        <v>0</v>
      </c>
      <c r="S1181" s="238">
        <f t="shared" si="1168"/>
        <v>0</v>
      </c>
      <c r="T1181" s="238">
        <f t="shared" si="1168"/>
        <v>0</v>
      </c>
      <c r="U1181" s="238">
        <f t="shared" si="1168"/>
        <v>0</v>
      </c>
      <c r="V1181" s="238">
        <f t="shared" ref="V1181:X1196" si="1169">P1181+S1181</f>
        <v>9937000</v>
      </c>
      <c r="W1181" s="238">
        <f t="shared" si="1169"/>
        <v>0</v>
      </c>
      <c r="X1181" s="238">
        <f t="shared" si="1169"/>
        <v>0</v>
      </c>
    </row>
    <row r="1182" spans="1:24" s="229" customFormat="1" ht="38.25" hidden="1">
      <c r="A1182" s="235" t="s">
        <v>350</v>
      </c>
      <c r="B1182" s="227" t="s">
        <v>402</v>
      </c>
      <c r="C1182" s="227" t="s">
        <v>16</v>
      </c>
      <c r="D1182" s="227" t="s">
        <v>14</v>
      </c>
      <c r="E1182" s="227" t="s">
        <v>82</v>
      </c>
      <c r="F1182" s="227" t="s">
        <v>70</v>
      </c>
      <c r="G1182" s="227" t="s">
        <v>148</v>
      </c>
      <c r="H1182" s="227" t="s">
        <v>179</v>
      </c>
      <c r="I1182" s="237"/>
      <c r="J1182" s="238"/>
      <c r="K1182" s="238"/>
      <c r="L1182" s="238"/>
      <c r="M1182" s="238"/>
      <c r="N1182" s="238"/>
      <c r="O1182" s="238"/>
      <c r="P1182" s="238">
        <f>P1183+P1185</f>
        <v>9937000</v>
      </c>
      <c r="Q1182" s="238">
        <f t="shared" ref="Q1182:U1182" si="1170">Q1183+Q1185</f>
        <v>0</v>
      </c>
      <c r="R1182" s="238">
        <f t="shared" si="1170"/>
        <v>0</v>
      </c>
      <c r="S1182" s="238">
        <f t="shared" si="1170"/>
        <v>0</v>
      </c>
      <c r="T1182" s="238">
        <f t="shared" si="1170"/>
        <v>0</v>
      </c>
      <c r="U1182" s="238">
        <f t="shared" si="1170"/>
        <v>0</v>
      </c>
      <c r="V1182" s="238">
        <f t="shared" si="1169"/>
        <v>9937000</v>
      </c>
      <c r="W1182" s="238">
        <f t="shared" si="1169"/>
        <v>0</v>
      </c>
      <c r="X1182" s="238">
        <f t="shared" si="1169"/>
        <v>0</v>
      </c>
    </row>
    <row r="1183" spans="1:24" s="229" customFormat="1" ht="25.5" hidden="1">
      <c r="A1183" s="240" t="s">
        <v>260</v>
      </c>
      <c r="B1183" s="227" t="s">
        <v>402</v>
      </c>
      <c r="C1183" s="227" t="s">
        <v>16</v>
      </c>
      <c r="D1183" s="227" t="s">
        <v>14</v>
      </c>
      <c r="E1183" s="227" t="s">
        <v>82</v>
      </c>
      <c r="F1183" s="227" t="s">
        <v>70</v>
      </c>
      <c r="G1183" s="227" t="s">
        <v>148</v>
      </c>
      <c r="H1183" s="227" t="s">
        <v>179</v>
      </c>
      <c r="I1183" s="237" t="s">
        <v>94</v>
      </c>
      <c r="J1183" s="238"/>
      <c r="K1183" s="238"/>
      <c r="L1183" s="238"/>
      <c r="M1183" s="238"/>
      <c r="N1183" s="238"/>
      <c r="O1183" s="238"/>
      <c r="P1183" s="238">
        <f>P1184</f>
        <v>8500000</v>
      </c>
      <c r="Q1183" s="238">
        <f t="shared" ref="Q1183:U1183" si="1171">Q1184</f>
        <v>0</v>
      </c>
      <c r="R1183" s="238">
        <f t="shared" si="1171"/>
        <v>0</v>
      </c>
      <c r="S1183" s="238">
        <f t="shared" si="1171"/>
        <v>1437000</v>
      </c>
      <c r="T1183" s="238">
        <f t="shared" si="1171"/>
        <v>0</v>
      </c>
      <c r="U1183" s="238">
        <f t="shared" si="1171"/>
        <v>0</v>
      </c>
      <c r="V1183" s="238">
        <f t="shared" si="1169"/>
        <v>9937000</v>
      </c>
      <c r="W1183" s="238">
        <f t="shared" si="1169"/>
        <v>0</v>
      </c>
      <c r="X1183" s="238">
        <f t="shared" si="1169"/>
        <v>0</v>
      </c>
    </row>
    <row r="1184" spans="1:24" s="229" customFormat="1" ht="25.5" hidden="1">
      <c r="A1184" s="239" t="s">
        <v>98</v>
      </c>
      <c r="B1184" s="227" t="s">
        <v>402</v>
      </c>
      <c r="C1184" s="227" t="s">
        <v>16</v>
      </c>
      <c r="D1184" s="227" t="s">
        <v>14</v>
      </c>
      <c r="E1184" s="227" t="s">
        <v>82</v>
      </c>
      <c r="F1184" s="227" t="s">
        <v>70</v>
      </c>
      <c r="G1184" s="227" t="s">
        <v>148</v>
      </c>
      <c r="H1184" s="227" t="s">
        <v>179</v>
      </c>
      <c r="I1184" s="237" t="s">
        <v>95</v>
      </c>
      <c r="J1184" s="238"/>
      <c r="K1184" s="238"/>
      <c r="L1184" s="238"/>
      <c r="M1184" s="238"/>
      <c r="N1184" s="238"/>
      <c r="O1184" s="238"/>
      <c r="P1184" s="238">
        <v>8500000</v>
      </c>
      <c r="Q1184" s="238"/>
      <c r="R1184" s="238"/>
      <c r="S1184" s="238">
        <v>1437000</v>
      </c>
      <c r="T1184" s="238"/>
      <c r="U1184" s="238"/>
      <c r="V1184" s="238">
        <f t="shared" si="1169"/>
        <v>9937000</v>
      </c>
      <c r="W1184" s="238">
        <f t="shared" si="1169"/>
        <v>0</v>
      </c>
      <c r="X1184" s="238">
        <f t="shared" si="1169"/>
        <v>0</v>
      </c>
    </row>
    <row r="1185" spans="1:24" s="229" customFormat="1" ht="25.5" hidden="1">
      <c r="A1185" s="268" t="s">
        <v>120</v>
      </c>
      <c r="B1185" s="227" t="s">
        <v>402</v>
      </c>
      <c r="C1185" s="227" t="s">
        <v>16</v>
      </c>
      <c r="D1185" s="227" t="s">
        <v>14</v>
      </c>
      <c r="E1185" s="227" t="s">
        <v>82</v>
      </c>
      <c r="F1185" s="227" t="s">
        <v>70</v>
      </c>
      <c r="G1185" s="227" t="s">
        <v>148</v>
      </c>
      <c r="H1185" s="227" t="s">
        <v>179</v>
      </c>
      <c r="I1185" s="237" t="s">
        <v>118</v>
      </c>
      <c r="J1185" s="238"/>
      <c r="K1185" s="238"/>
      <c r="L1185" s="238"/>
      <c r="M1185" s="238"/>
      <c r="N1185" s="238"/>
      <c r="O1185" s="238"/>
      <c r="P1185" s="238">
        <f>P1186</f>
        <v>1437000</v>
      </c>
      <c r="Q1185" s="238">
        <f t="shared" ref="Q1185:U1185" si="1172">Q1186</f>
        <v>0</v>
      </c>
      <c r="R1185" s="238">
        <f t="shared" si="1172"/>
        <v>0</v>
      </c>
      <c r="S1185" s="238">
        <f t="shared" si="1172"/>
        <v>-1437000</v>
      </c>
      <c r="T1185" s="238">
        <f t="shared" si="1172"/>
        <v>0</v>
      </c>
      <c r="U1185" s="238">
        <f t="shared" si="1172"/>
        <v>0</v>
      </c>
      <c r="V1185" s="238">
        <f t="shared" si="1169"/>
        <v>0</v>
      </c>
      <c r="W1185" s="238">
        <f t="shared" si="1169"/>
        <v>0</v>
      </c>
      <c r="X1185" s="238">
        <f t="shared" si="1169"/>
        <v>0</v>
      </c>
    </row>
    <row r="1186" spans="1:24" s="229" customFormat="1" hidden="1">
      <c r="A1186" s="268" t="s">
        <v>121</v>
      </c>
      <c r="B1186" s="227" t="s">
        <v>402</v>
      </c>
      <c r="C1186" s="227" t="s">
        <v>16</v>
      </c>
      <c r="D1186" s="227" t="s">
        <v>14</v>
      </c>
      <c r="E1186" s="227" t="s">
        <v>82</v>
      </c>
      <c r="F1186" s="227" t="s">
        <v>70</v>
      </c>
      <c r="G1186" s="227" t="s">
        <v>148</v>
      </c>
      <c r="H1186" s="227" t="s">
        <v>179</v>
      </c>
      <c r="I1186" s="237" t="s">
        <v>119</v>
      </c>
      <c r="J1186" s="238"/>
      <c r="K1186" s="238"/>
      <c r="L1186" s="238"/>
      <c r="M1186" s="238"/>
      <c r="N1186" s="238"/>
      <c r="O1186" s="238"/>
      <c r="P1186" s="238">
        <v>1437000</v>
      </c>
      <c r="Q1186" s="238">
        <v>0</v>
      </c>
      <c r="R1186" s="238">
        <v>0</v>
      </c>
      <c r="S1186" s="238">
        <v>-1437000</v>
      </c>
      <c r="T1186" s="238"/>
      <c r="U1186" s="238"/>
      <c r="V1186" s="238">
        <f t="shared" si="1169"/>
        <v>0</v>
      </c>
      <c r="W1186" s="238">
        <f t="shared" si="1169"/>
        <v>0</v>
      </c>
      <c r="X1186" s="238">
        <f t="shared" si="1169"/>
        <v>0</v>
      </c>
    </row>
    <row r="1187" spans="1:24" s="229" customFormat="1" ht="15.75" hidden="1">
      <c r="A1187" s="273" t="s">
        <v>46</v>
      </c>
      <c r="B1187" s="274" t="s">
        <v>402</v>
      </c>
      <c r="C1187" s="274" t="s">
        <v>18</v>
      </c>
      <c r="D1187" s="274"/>
      <c r="E1187" s="274"/>
      <c r="F1187" s="274"/>
      <c r="G1187" s="274"/>
      <c r="H1187" s="274"/>
      <c r="I1187" s="275"/>
      <c r="J1187" s="228"/>
      <c r="K1187" s="228"/>
      <c r="L1187" s="228"/>
      <c r="M1187" s="228"/>
      <c r="N1187" s="228"/>
      <c r="O1187" s="228"/>
      <c r="P1187" s="228">
        <f t="shared" ref="P1187:U1187" si="1173">P1188+P1193+P1198</f>
        <v>3525457.4</v>
      </c>
      <c r="Q1187" s="228">
        <f t="shared" si="1173"/>
        <v>2671106.6799999997</v>
      </c>
      <c r="R1187" s="228">
        <f t="shared" si="1173"/>
        <v>2672614.86</v>
      </c>
      <c r="S1187" s="228">
        <f t="shared" si="1173"/>
        <v>100000</v>
      </c>
      <c r="T1187" s="228">
        <f t="shared" si="1173"/>
        <v>0</v>
      </c>
      <c r="U1187" s="228">
        <f t="shared" si="1173"/>
        <v>0</v>
      </c>
      <c r="V1187" s="228">
        <f t="shared" si="1169"/>
        <v>3625457.4</v>
      </c>
      <c r="W1187" s="228">
        <f t="shared" si="1169"/>
        <v>2671106.6799999997</v>
      </c>
      <c r="X1187" s="228">
        <f t="shared" si="1169"/>
        <v>2672614.86</v>
      </c>
    </row>
    <row r="1188" spans="1:24" s="229" customFormat="1" hidden="1">
      <c r="A1188" s="276" t="s">
        <v>61</v>
      </c>
      <c r="B1188" s="232" t="s">
        <v>402</v>
      </c>
      <c r="C1188" s="232" t="s">
        <v>18</v>
      </c>
      <c r="D1188" s="232" t="s">
        <v>20</v>
      </c>
      <c r="E1188" s="232"/>
      <c r="F1188" s="232"/>
      <c r="G1188" s="232"/>
      <c r="H1188" s="232"/>
      <c r="I1188" s="233"/>
      <c r="J1188" s="234"/>
      <c r="K1188" s="234"/>
      <c r="L1188" s="234"/>
      <c r="M1188" s="234"/>
      <c r="N1188" s="234"/>
      <c r="O1188" s="234"/>
      <c r="P1188" s="234">
        <f>P1189</f>
        <v>105733</v>
      </c>
      <c r="Q1188" s="234">
        <f t="shared" ref="Q1188:U1191" si="1174">Q1189</f>
        <v>109962.32</v>
      </c>
      <c r="R1188" s="234">
        <f t="shared" si="1174"/>
        <v>114360.81</v>
      </c>
      <c r="S1188" s="234">
        <f t="shared" si="1174"/>
        <v>0</v>
      </c>
      <c r="T1188" s="234">
        <f t="shared" si="1174"/>
        <v>0</v>
      </c>
      <c r="U1188" s="234">
        <f t="shared" si="1174"/>
        <v>0</v>
      </c>
      <c r="V1188" s="234">
        <f t="shared" si="1169"/>
        <v>105733</v>
      </c>
      <c r="W1188" s="234">
        <f t="shared" si="1169"/>
        <v>109962.32</v>
      </c>
      <c r="X1188" s="234">
        <f t="shared" si="1169"/>
        <v>114360.81</v>
      </c>
    </row>
    <row r="1189" spans="1:24" s="229" customFormat="1" ht="38.25" hidden="1">
      <c r="A1189" s="235" t="s">
        <v>287</v>
      </c>
      <c r="B1189" s="227" t="s">
        <v>402</v>
      </c>
      <c r="C1189" s="236" t="s">
        <v>18</v>
      </c>
      <c r="D1189" s="236" t="s">
        <v>20</v>
      </c>
      <c r="E1189" s="236" t="s">
        <v>14</v>
      </c>
      <c r="F1189" s="236" t="s">
        <v>70</v>
      </c>
      <c r="G1189" s="236" t="s">
        <v>148</v>
      </c>
      <c r="H1189" s="227" t="s">
        <v>149</v>
      </c>
      <c r="I1189" s="237"/>
      <c r="J1189" s="238"/>
      <c r="K1189" s="238"/>
      <c r="L1189" s="238"/>
      <c r="M1189" s="238"/>
      <c r="N1189" s="238"/>
      <c r="O1189" s="238"/>
      <c r="P1189" s="238">
        <f>P1190</f>
        <v>105733</v>
      </c>
      <c r="Q1189" s="238">
        <f t="shared" si="1174"/>
        <v>109962.32</v>
      </c>
      <c r="R1189" s="238">
        <f t="shared" si="1174"/>
        <v>114360.81</v>
      </c>
      <c r="S1189" s="238">
        <f t="shared" si="1174"/>
        <v>0</v>
      </c>
      <c r="T1189" s="238">
        <f t="shared" si="1174"/>
        <v>0</v>
      </c>
      <c r="U1189" s="238">
        <f t="shared" si="1174"/>
        <v>0</v>
      </c>
      <c r="V1189" s="238">
        <f t="shared" si="1169"/>
        <v>105733</v>
      </c>
      <c r="W1189" s="238">
        <f t="shared" si="1169"/>
        <v>109962.32</v>
      </c>
      <c r="X1189" s="238">
        <f t="shared" si="1169"/>
        <v>114360.81</v>
      </c>
    </row>
    <row r="1190" spans="1:24" s="229" customFormat="1" hidden="1">
      <c r="A1190" s="235" t="s">
        <v>369</v>
      </c>
      <c r="B1190" s="227" t="s">
        <v>402</v>
      </c>
      <c r="C1190" s="236" t="s">
        <v>18</v>
      </c>
      <c r="D1190" s="236" t="s">
        <v>20</v>
      </c>
      <c r="E1190" s="236" t="s">
        <v>14</v>
      </c>
      <c r="F1190" s="236" t="s">
        <v>70</v>
      </c>
      <c r="G1190" s="236" t="s">
        <v>148</v>
      </c>
      <c r="H1190" s="227" t="s">
        <v>327</v>
      </c>
      <c r="I1190" s="237"/>
      <c r="J1190" s="238"/>
      <c r="K1190" s="238"/>
      <c r="L1190" s="238"/>
      <c r="M1190" s="238"/>
      <c r="N1190" s="238"/>
      <c r="O1190" s="238"/>
      <c r="P1190" s="238">
        <f>P1191</f>
        <v>105733</v>
      </c>
      <c r="Q1190" s="238">
        <f t="shared" si="1174"/>
        <v>109962.32</v>
      </c>
      <c r="R1190" s="238">
        <f t="shared" si="1174"/>
        <v>114360.81</v>
      </c>
      <c r="S1190" s="238">
        <f t="shared" si="1174"/>
        <v>0</v>
      </c>
      <c r="T1190" s="238">
        <f t="shared" si="1174"/>
        <v>0</v>
      </c>
      <c r="U1190" s="238">
        <f t="shared" si="1174"/>
        <v>0</v>
      </c>
      <c r="V1190" s="238">
        <f t="shared" si="1169"/>
        <v>105733</v>
      </c>
      <c r="W1190" s="238">
        <f t="shared" si="1169"/>
        <v>109962.32</v>
      </c>
      <c r="X1190" s="238">
        <f t="shared" si="1169"/>
        <v>114360.81</v>
      </c>
    </row>
    <row r="1191" spans="1:24" s="229" customFormat="1" ht="25.5" hidden="1">
      <c r="A1191" s="240" t="s">
        <v>260</v>
      </c>
      <c r="B1191" s="227" t="s">
        <v>402</v>
      </c>
      <c r="C1191" s="236" t="s">
        <v>18</v>
      </c>
      <c r="D1191" s="236" t="s">
        <v>20</v>
      </c>
      <c r="E1191" s="236" t="s">
        <v>14</v>
      </c>
      <c r="F1191" s="236" t="s">
        <v>70</v>
      </c>
      <c r="G1191" s="236" t="s">
        <v>148</v>
      </c>
      <c r="H1191" s="227" t="s">
        <v>327</v>
      </c>
      <c r="I1191" s="237" t="s">
        <v>94</v>
      </c>
      <c r="J1191" s="238"/>
      <c r="K1191" s="238"/>
      <c r="L1191" s="238"/>
      <c r="M1191" s="238"/>
      <c r="N1191" s="238"/>
      <c r="O1191" s="238"/>
      <c r="P1191" s="238">
        <f>P1192</f>
        <v>105733</v>
      </c>
      <c r="Q1191" s="238">
        <f t="shared" si="1174"/>
        <v>109962.32</v>
      </c>
      <c r="R1191" s="238">
        <f t="shared" si="1174"/>
        <v>114360.81</v>
      </c>
      <c r="S1191" s="238">
        <f t="shared" si="1174"/>
        <v>0</v>
      </c>
      <c r="T1191" s="238">
        <f t="shared" si="1174"/>
        <v>0</v>
      </c>
      <c r="U1191" s="238">
        <f t="shared" si="1174"/>
        <v>0</v>
      </c>
      <c r="V1191" s="238">
        <f t="shared" si="1169"/>
        <v>105733</v>
      </c>
      <c r="W1191" s="238">
        <f t="shared" si="1169"/>
        <v>109962.32</v>
      </c>
      <c r="X1191" s="238">
        <f t="shared" si="1169"/>
        <v>114360.81</v>
      </c>
    </row>
    <row r="1192" spans="1:24" s="229" customFormat="1" ht="25.5" hidden="1">
      <c r="A1192" s="239" t="s">
        <v>98</v>
      </c>
      <c r="B1192" s="227" t="s">
        <v>402</v>
      </c>
      <c r="C1192" s="236" t="s">
        <v>18</v>
      </c>
      <c r="D1192" s="236" t="s">
        <v>20</v>
      </c>
      <c r="E1192" s="236" t="s">
        <v>14</v>
      </c>
      <c r="F1192" s="236" t="s">
        <v>70</v>
      </c>
      <c r="G1192" s="236" t="s">
        <v>148</v>
      </c>
      <c r="H1192" s="227" t="s">
        <v>327</v>
      </c>
      <c r="I1192" s="237" t="s">
        <v>95</v>
      </c>
      <c r="J1192" s="238"/>
      <c r="K1192" s="238"/>
      <c r="L1192" s="238"/>
      <c r="M1192" s="238"/>
      <c r="N1192" s="238"/>
      <c r="O1192" s="238"/>
      <c r="P1192" s="238">
        <v>105733</v>
      </c>
      <c r="Q1192" s="238">
        <v>109962.32</v>
      </c>
      <c r="R1192" s="238">
        <v>114360.81</v>
      </c>
      <c r="S1192" s="238"/>
      <c r="T1192" s="238"/>
      <c r="U1192" s="238"/>
      <c r="V1192" s="238">
        <f t="shared" si="1169"/>
        <v>105733</v>
      </c>
      <c r="W1192" s="238">
        <f t="shared" si="1169"/>
        <v>109962.32</v>
      </c>
      <c r="X1192" s="238">
        <f t="shared" si="1169"/>
        <v>114360.81</v>
      </c>
    </row>
    <row r="1193" spans="1:24" s="229" customFormat="1" hidden="1">
      <c r="A1193" s="278" t="s">
        <v>47</v>
      </c>
      <c r="B1193" s="232" t="s">
        <v>402</v>
      </c>
      <c r="C1193" s="232" t="s">
        <v>18</v>
      </c>
      <c r="D1193" s="232" t="s">
        <v>17</v>
      </c>
      <c r="E1193" s="232"/>
      <c r="F1193" s="232"/>
      <c r="G1193" s="232"/>
      <c r="H1193" s="232"/>
      <c r="I1193" s="233"/>
      <c r="J1193" s="234"/>
      <c r="K1193" s="234"/>
      <c r="L1193" s="234"/>
      <c r="M1193" s="234"/>
      <c r="N1193" s="234"/>
      <c r="O1193" s="234"/>
      <c r="P1193" s="234">
        <f>P1194</f>
        <v>677076</v>
      </c>
      <c r="Q1193" s="234">
        <f t="shared" ref="Q1193:U1196" si="1175">Q1194</f>
        <v>704159.04</v>
      </c>
      <c r="R1193" s="234">
        <f t="shared" si="1175"/>
        <v>732325.4</v>
      </c>
      <c r="S1193" s="234">
        <f t="shared" si="1175"/>
        <v>0</v>
      </c>
      <c r="T1193" s="234">
        <f t="shared" si="1175"/>
        <v>0</v>
      </c>
      <c r="U1193" s="234">
        <f t="shared" si="1175"/>
        <v>0</v>
      </c>
      <c r="V1193" s="234">
        <f t="shared" si="1169"/>
        <v>677076</v>
      </c>
      <c r="W1193" s="234">
        <f t="shared" si="1169"/>
        <v>704159.04</v>
      </c>
      <c r="X1193" s="234">
        <f t="shared" si="1169"/>
        <v>732325.4</v>
      </c>
    </row>
    <row r="1194" spans="1:24" s="229" customFormat="1" hidden="1">
      <c r="A1194" s="235" t="s">
        <v>83</v>
      </c>
      <c r="B1194" s="227" t="s">
        <v>402</v>
      </c>
      <c r="C1194" s="227" t="s">
        <v>18</v>
      </c>
      <c r="D1194" s="227" t="s">
        <v>17</v>
      </c>
      <c r="E1194" s="227" t="s">
        <v>82</v>
      </c>
      <c r="F1194" s="227" t="s">
        <v>70</v>
      </c>
      <c r="G1194" s="227" t="s">
        <v>148</v>
      </c>
      <c r="H1194" s="227" t="s">
        <v>149</v>
      </c>
      <c r="I1194" s="237"/>
      <c r="J1194" s="238"/>
      <c r="K1194" s="238"/>
      <c r="L1194" s="238"/>
      <c r="M1194" s="238"/>
      <c r="N1194" s="238"/>
      <c r="O1194" s="238"/>
      <c r="P1194" s="238">
        <f>P1195</f>
        <v>677076</v>
      </c>
      <c r="Q1194" s="238">
        <f t="shared" si="1175"/>
        <v>704159.04</v>
      </c>
      <c r="R1194" s="238">
        <f t="shared" si="1175"/>
        <v>732325.4</v>
      </c>
      <c r="S1194" s="238">
        <f t="shared" si="1175"/>
        <v>0</v>
      </c>
      <c r="T1194" s="238">
        <f t="shared" si="1175"/>
        <v>0</v>
      </c>
      <c r="U1194" s="238">
        <f t="shared" si="1175"/>
        <v>0</v>
      </c>
      <c r="V1194" s="238">
        <f t="shared" si="1169"/>
        <v>677076</v>
      </c>
      <c r="W1194" s="238">
        <f t="shared" si="1169"/>
        <v>704159.04</v>
      </c>
      <c r="X1194" s="238">
        <f t="shared" si="1169"/>
        <v>732325.4</v>
      </c>
    </row>
    <row r="1195" spans="1:24" s="229" customFormat="1" hidden="1">
      <c r="A1195" s="268" t="s">
        <v>359</v>
      </c>
      <c r="B1195" s="227" t="s">
        <v>402</v>
      </c>
      <c r="C1195" s="227" t="s">
        <v>18</v>
      </c>
      <c r="D1195" s="227" t="s">
        <v>17</v>
      </c>
      <c r="E1195" s="227" t="s">
        <v>82</v>
      </c>
      <c r="F1195" s="227" t="s">
        <v>70</v>
      </c>
      <c r="G1195" s="227" t="s">
        <v>148</v>
      </c>
      <c r="H1195" s="227" t="s">
        <v>358</v>
      </c>
      <c r="I1195" s="237"/>
      <c r="J1195" s="238"/>
      <c r="K1195" s="238"/>
      <c r="L1195" s="238"/>
      <c r="M1195" s="238"/>
      <c r="N1195" s="238"/>
      <c r="O1195" s="238"/>
      <c r="P1195" s="238">
        <f>P1196</f>
        <v>677076</v>
      </c>
      <c r="Q1195" s="238">
        <f t="shared" si="1175"/>
        <v>704159.04</v>
      </c>
      <c r="R1195" s="238">
        <f t="shared" si="1175"/>
        <v>732325.4</v>
      </c>
      <c r="S1195" s="238">
        <f t="shared" si="1175"/>
        <v>0</v>
      </c>
      <c r="T1195" s="238">
        <f t="shared" si="1175"/>
        <v>0</v>
      </c>
      <c r="U1195" s="238">
        <f t="shared" si="1175"/>
        <v>0</v>
      </c>
      <c r="V1195" s="238">
        <f t="shared" si="1169"/>
        <v>677076</v>
      </c>
      <c r="W1195" s="238">
        <f t="shared" si="1169"/>
        <v>704159.04</v>
      </c>
      <c r="X1195" s="238">
        <f t="shared" si="1169"/>
        <v>732325.4</v>
      </c>
    </row>
    <row r="1196" spans="1:24" s="229" customFormat="1" ht="25.5" hidden="1">
      <c r="A1196" s="240" t="s">
        <v>260</v>
      </c>
      <c r="B1196" s="227" t="s">
        <v>402</v>
      </c>
      <c r="C1196" s="227" t="s">
        <v>18</v>
      </c>
      <c r="D1196" s="227" t="s">
        <v>17</v>
      </c>
      <c r="E1196" s="227" t="s">
        <v>82</v>
      </c>
      <c r="F1196" s="227" t="s">
        <v>70</v>
      </c>
      <c r="G1196" s="227" t="s">
        <v>148</v>
      </c>
      <c r="H1196" s="227" t="s">
        <v>358</v>
      </c>
      <c r="I1196" s="237" t="s">
        <v>94</v>
      </c>
      <c r="J1196" s="238"/>
      <c r="K1196" s="238"/>
      <c r="L1196" s="238"/>
      <c r="M1196" s="238"/>
      <c r="N1196" s="238"/>
      <c r="O1196" s="238"/>
      <c r="P1196" s="238">
        <f>P1197</f>
        <v>677076</v>
      </c>
      <c r="Q1196" s="238">
        <f t="shared" si="1175"/>
        <v>704159.04</v>
      </c>
      <c r="R1196" s="238">
        <f t="shared" si="1175"/>
        <v>732325.4</v>
      </c>
      <c r="S1196" s="238">
        <f t="shared" si="1175"/>
        <v>0</v>
      </c>
      <c r="T1196" s="238">
        <f t="shared" si="1175"/>
        <v>0</v>
      </c>
      <c r="U1196" s="238">
        <f t="shared" si="1175"/>
        <v>0</v>
      </c>
      <c r="V1196" s="238">
        <f t="shared" si="1169"/>
        <v>677076</v>
      </c>
      <c r="W1196" s="238">
        <f t="shared" si="1169"/>
        <v>704159.04</v>
      </c>
      <c r="X1196" s="238">
        <f t="shared" si="1169"/>
        <v>732325.4</v>
      </c>
    </row>
    <row r="1197" spans="1:24" s="229" customFormat="1" ht="25.5" hidden="1">
      <c r="A1197" s="239" t="s">
        <v>98</v>
      </c>
      <c r="B1197" s="227" t="s">
        <v>402</v>
      </c>
      <c r="C1197" s="227" t="s">
        <v>18</v>
      </c>
      <c r="D1197" s="227" t="s">
        <v>17</v>
      </c>
      <c r="E1197" s="227" t="s">
        <v>82</v>
      </c>
      <c r="F1197" s="227" t="s">
        <v>70</v>
      </c>
      <c r="G1197" s="227" t="s">
        <v>148</v>
      </c>
      <c r="H1197" s="227" t="s">
        <v>358</v>
      </c>
      <c r="I1197" s="237" t="s">
        <v>95</v>
      </c>
      <c r="J1197" s="238"/>
      <c r="K1197" s="238"/>
      <c r="L1197" s="238"/>
      <c r="M1197" s="238"/>
      <c r="N1197" s="238"/>
      <c r="O1197" s="238"/>
      <c r="P1197" s="238">
        <v>677076</v>
      </c>
      <c r="Q1197" s="238">
        <v>704159.04</v>
      </c>
      <c r="R1197" s="238">
        <v>732325.4</v>
      </c>
      <c r="S1197" s="238"/>
      <c r="T1197" s="238"/>
      <c r="U1197" s="238"/>
      <c r="V1197" s="238">
        <f t="shared" ref="V1197:X1212" si="1176">P1197+S1197</f>
        <v>677076</v>
      </c>
      <c r="W1197" s="238">
        <f t="shared" si="1176"/>
        <v>704159.04</v>
      </c>
      <c r="X1197" s="238">
        <f t="shared" si="1176"/>
        <v>732325.4</v>
      </c>
    </row>
    <row r="1198" spans="1:24" s="255" customFormat="1" hidden="1">
      <c r="A1198" s="278" t="s">
        <v>68</v>
      </c>
      <c r="B1198" s="231" t="s">
        <v>402</v>
      </c>
      <c r="C1198" s="231" t="s">
        <v>18</v>
      </c>
      <c r="D1198" s="231" t="s">
        <v>13</v>
      </c>
      <c r="E1198" s="231"/>
      <c r="F1198" s="231"/>
      <c r="G1198" s="231"/>
      <c r="H1198" s="231"/>
      <c r="I1198" s="242"/>
      <c r="J1198" s="234"/>
      <c r="K1198" s="234"/>
      <c r="L1198" s="234"/>
      <c r="M1198" s="234"/>
      <c r="N1198" s="234"/>
      <c r="O1198" s="234"/>
      <c r="P1198" s="234">
        <f>P1199+P1206</f>
        <v>2742648.4</v>
      </c>
      <c r="Q1198" s="234">
        <f t="shared" ref="Q1198:U1198" si="1177">Q1199+Q1206</f>
        <v>1856985.3199999998</v>
      </c>
      <c r="R1198" s="234">
        <f t="shared" si="1177"/>
        <v>1825928.65</v>
      </c>
      <c r="S1198" s="234">
        <f t="shared" si="1177"/>
        <v>100000</v>
      </c>
      <c r="T1198" s="234">
        <f t="shared" si="1177"/>
        <v>0</v>
      </c>
      <c r="U1198" s="234">
        <f t="shared" si="1177"/>
        <v>0</v>
      </c>
      <c r="V1198" s="234">
        <f t="shared" si="1176"/>
        <v>2842648.4</v>
      </c>
      <c r="W1198" s="234">
        <f t="shared" si="1176"/>
        <v>1856985.3199999998</v>
      </c>
      <c r="X1198" s="234">
        <f t="shared" si="1176"/>
        <v>1825928.65</v>
      </c>
    </row>
    <row r="1199" spans="1:24" s="229" customFormat="1" ht="38.25" hidden="1">
      <c r="A1199" s="239" t="s">
        <v>365</v>
      </c>
      <c r="B1199" s="227" t="s">
        <v>402</v>
      </c>
      <c r="C1199" s="227" t="s">
        <v>18</v>
      </c>
      <c r="D1199" s="227" t="s">
        <v>13</v>
      </c>
      <c r="E1199" s="227" t="s">
        <v>363</v>
      </c>
      <c r="F1199" s="227" t="s">
        <v>70</v>
      </c>
      <c r="G1199" s="227" t="s">
        <v>148</v>
      </c>
      <c r="H1199" s="227" t="s">
        <v>149</v>
      </c>
      <c r="I1199" s="237"/>
      <c r="J1199" s="238"/>
      <c r="K1199" s="238"/>
      <c r="L1199" s="238"/>
      <c r="M1199" s="238"/>
      <c r="N1199" s="238"/>
      <c r="O1199" s="238"/>
      <c r="P1199" s="238">
        <f>P1200+P1203</f>
        <v>914564.39999999991</v>
      </c>
      <c r="Q1199" s="238">
        <f t="shared" ref="Q1199:U1199" si="1178">Q1200+Q1203</f>
        <v>0</v>
      </c>
      <c r="R1199" s="238">
        <f t="shared" si="1178"/>
        <v>0</v>
      </c>
      <c r="S1199" s="238">
        <f t="shared" si="1178"/>
        <v>0</v>
      </c>
      <c r="T1199" s="238">
        <f t="shared" si="1178"/>
        <v>0</v>
      </c>
      <c r="U1199" s="238">
        <f t="shared" si="1178"/>
        <v>0</v>
      </c>
      <c r="V1199" s="238">
        <f t="shared" si="1176"/>
        <v>914564.39999999991</v>
      </c>
      <c r="W1199" s="238">
        <f t="shared" si="1176"/>
        <v>0</v>
      </c>
      <c r="X1199" s="238">
        <f t="shared" si="1176"/>
        <v>0</v>
      </c>
    </row>
    <row r="1200" spans="1:24" s="229" customFormat="1" hidden="1">
      <c r="A1200" s="239" t="s">
        <v>367</v>
      </c>
      <c r="B1200" s="227" t="s">
        <v>402</v>
      </c>
      <c r="C1200" s="227" t="s">
        <v>18</v>
      </c>
      <c r="D1200" s="227" t="s">
        <v>13</v>
      </c>
      <c r="E1200" s="227" t="s">
        <v>363</v>
      </c>
      <c r="F1200" s="227" t="s">
        <v>70</v>
      </c>
      <c r="G1200" s="227" t="s">
        <v>148</v>
      </c>
      <c r="H1200" s="227" t="s">
        <v>360</v>
      </c>
      <c r="I1200" s="237"/>
      <c r="J1200" s="238"/>
      <c r="K1200" s="238"/>
      <c r="L1200" s="238"/>
      <c r="M1200" s="238"/>
      <c r="N1200" s="238"/>
      <c r="O1200" s="238"/>
      <c r="P1200" s="238">
        <f>P1201</f>
        <v>88529.43</v>
      </c>
      <c r="Q1200" s="238">
        <f t="shared" ref="Q1200:U1201" si="1179">Q1201</f>
        <v>0</v>
      </c>
      <c r="R1200" s="238">
        <f t="shared" si="1179"/>
        <v>0</v>
      </c>
      <c r="S1200" s="238">
        <f t="shared" si="1179"/>
        <v>0</v>
      </c>
      <c r="T1200" s="238">
        <f t="shared" si="1179"/>
        <v>0</v>
      </c>
      <c r="U1200" s="238">
        <f t="shared" si="1179"/>
        <v>0</v>
      </c>
      <c r="V1200" s="238">
        <f t="shared" si="1176"/>
        <v>88529.43</v>
      </c>
      <c r="W1200" s="238">
        <f t="shared" si="1176"/>
        <v>0</v>
      </c>
      <c r="X1200" s="238">
        <f t="shared" si="1176"/>
        <v>0</v>
      </c>
    </row>
    <row r="1201" spans="1:24" s="229" customFormat="1" ht="25.5" hidden="1">
      <c r="A1201" s="240" t="s">
        <v>260</v>
      </c>
      <c r="B1201" s="227" t="s">
        <v>402</v>
      </c>
      <c r="C1201" s="227" t="s">
        <v>18</v>
      </c>
      <c r="D1201" s="227" t="s">
        <v>13</v>
      </c>
      <c r="E1201" s="227" t="s">
        <v>363</v>
      </c>
      <c r="F1201" s="227" t="s">
        <v>70</v>
      </c>
      <c r="G1201" s="227" t="s">
        <v>148</v>
      </c>
      <c r="H1201" s="227" t="s">
        <v>360</v>
      </c>
      <c r="I1201" s="237" t="s">
        <v>94</v>
      </c>
      <c r="J1201" s="238"/>
      <c r="K1201" s="238"/>
      <c r="L1201" s="238"/>
      <c r="M1201" s="238"/>
      <c r="N1201" s="238"/>
      <c r="O1201" s="238"/>
      <c r="P1201" s="238">
        <f>P1202</f>
        <v>88529.43</v>
      </c>
      <c r="Q1201" s="238">
        <f t="shared" si="1179"/>
        <v>0</v>
      </c>
      <c r="R1201" s="238">
        <f t="shared" si="1179"/>
        <v>0</v>
      </c>
      <c r="S1201" s="238">
        <f t="shared" si="1179"/>
        <v>0</v>
      </c>
      <c r="T1201" s="238">
        <f t="shared" si="1179"/>
        <v>0</v>
      </c>
      <c r="U1201" s="238">
        <f t="shared" si="1179"/>
        <v>0</v>
      </c>
      <c r="V1201" s="238">
        <f t="shared" si="1176"/>
        <v>88529.43</v>
      </c>
      <c r="W1201" s="238">
        <f t="shared" si="1176"/>
        <v>0</v>
      </c>
      <c r="X1201" s="238">
        <f t="shared" si="1176"/>
        <v>0</v>
      </c>
    </row>
    <row r="1202" spans="1:24" s="229" customFormat="1" ht="25.5" hidden="1">
      <c r="A1202" s="239" t="s">
        <v>98</v>
      </c>
      <c r="B1202" s="227" t="s">
        <v>402</v>
      </c>
      <c r="C1202" s="227" t="s">
        <v>18</v>
      </c>
      <c r="D1202" s="227" t="s">
        <v>13</v>
      </c>
      <c r="E1202" s="227" t="s">
        <v>363</v>
      </c>
      <c r="F1202" s="227" t="s">
        <v>70</v>
      </c>
      <c r="G1202" s="227" t="s">
        <v>148</v>
      </c>
      <c r="H1202" s="227" t="s">
        <v>360</v>
      </c>
      <c r="I1202" s="237" t="s">
        <v>95</v>
      </c>
      <c r="J1202" s="238"/>
      <c r="K1202" s="238"/>
      <c r="L1202" s="238"/>
      <c r="M1202" s="238"/>
      <c r="N1202" s="238"/>
      <c r="O1202" s="238"/>
      <c r="P1202" s="238">
        <v>88529.43</v>
      </c>
      <c r="Q1202" s="238">
        <f t="shared" ref="Q1202:R1202" si="1180">K1202+N1202</f>
        <v>0</v>
      </c>
      <c r="R1202" s="238">
        <f t="shared" si="1180"/>
        <v>0</v>
      </c>
      <c r="S1202" s="238"/>
      <c r="T1202" s="238"/>
      <c r="U1202" s="238"/>
      <c r="V1202" s="238">
        <f t="shared" si="1176"/>
        <v>88529.43</v>
      </c>
      <c r="W1202" s="238">
        <f t="shared" si="1176"/>
        <v>0</v>
      </c>
      <c r="X1202" s="238">
        <f t="shared" si="1176"/>
        <v>0</v>
      </c>
    </row>
    <row r="1203" spans="1:24" s="229" customFormat="1" hidden="1">
      <c r="A1203" s="239" t="s">
        <v>431</v>
      </c>
      <c r="B1203" s="227" t="s">
        <v>402</v>
      </c>
      <c r="C1203" s="227" t="s">
        <v>18</v>
      </c>
      <c r="D1203" s="227" t="s">
        <v>13</v>
      </c>
      <c r="E1203" s="227" t="s">
        <v>363</v>
      </c>
      <c r="F1203" s="227" t="s">
        <v>70</v>
      </c>
      <c r="G1203" s="227" t="s">
        <v>429</v>
      </c>
      <c r="H1203" s="227" t="s">
        <v>430</v>
      </c>
      <c r="I1203" s="237"/>
      <c r="J1203" s="238"/>
      <c r="K1203" s="238"/>
      <c r="L1203" s="238"/>
      <c r="M1203" s="238"/>
      <c r="N1203" s="238"/>
      <c r="O1203" s="238"/>
      <c r="P1203" s="238">
        <f>P1204</f>
        <v>826034.97</v>
      </c>
      <c r="Q1203" s="238">
        <f t="shared" ref="Q1203:U1204" si="1181">Q1204</f>
        <v>0</v>
      </c>
      <c r="R1203" s="238">
        <f t="shared" si="1181"/>
        <v>0</v>
      </c>
      <c r="S1203" s="238">
        <f t="shared" si="1181"/>
        <v>0</v>
      </c>
      <c r="T1203" s="238">
        <f t="shared" si="1181"/>
        <v>0</v>
      </c>
      <c r="U1203" s="238">
        <f t="shared" si="1181"/>
        <v>0</v>
      </c>
      <c r="V1203" s="238">
        <f t="shared" si="1176"/>
        <v>826034.97</v>
      </c>
      <c r="W1203" s="238">
        <f t="shared" si="1176"/>
        <v>0</v>
      </c>
      <c r="X1203" s="238">
        <f t="shared" si="1176"/>
        <v>0</v>
      </c>
    </row>
    <row r="1204" spans="1:24" s="229" customFormat="1" ht="25.5" hidden="1">
      <c r="A1204" s="240" t="s">
        <v>260</v>
      </c>
      <c r="B1204" s="227" t="s">
        <v>402</v>
      </c>
      <c r="C1204" s="227" t="s">
        <v>18</v>
      </c>
      <c r="D1204" s="227" t="s">
        <v>13</v>
      </c>
      <c r="E1204" s="227" t="s">
        <v>363</v>
      </c>
      <c r="F1204" s="227" t="s">
        <v>70</v>
      </c>
      <c r="G1204" s="227" t="s">
        <v>429</v>
      </c>
      <c r="H1204" s="227" t="s">
        <v>430</v>
      </c>
      <c r="I1204" s="237" t="s">
        <v>94</v>
      </c>
      <c r="J1204" s="238"/>
      <c r="K1204" s="238"/>
      <c r="L1204" s="238"/>
      <c r="M1204" s="238"/>
      <c r="N1204" s="238"/>
      <c r="O1204" s="238"/>
      <c r="P1204" s="238">
        <f>P1205</f>
        <v>826034.97</v>
      </c>
      <c r="Q1204" s="238">
        <f t="shared" si="1181"/>
        <v>0</v>
      </c>
      <c r="R1204" s="238">
        <f t="shared" si="1181"/>
        <v>0</v>
      </c>
      <c r="S1204" s="238">
        <f t="shared" si="1181"/>
        <v>0</v>
      </c>
      <c r="T1204" s="238">
        <f t="shared" si="1181"/>
        <v>0</v>
      </c>
      <c r="U1204" s="238">
        <f t="shared" si="1181"/>
        <v>0</v>
      </c>
      <c r="V1204" s="238">
        <f t="shared" si="1176"/>
        <v>826034.97</v>
      </c>
      <c r="W1204" s="238">
        <f t="shared" si="1176"/>
        <v>0</v>
      </c>
      <c r="X1204" s="238">
        <f t="shared" si="1176"/>
        <v>0</v>
      </c>
    </row>
    <row r="1205" spans="1:24" s="229" customFormat="1" ht="25.5" hidden="1">
      <c r="A1205" s="239" t="s">
        <v>98</v>
      </c>
      <c r="B1205" s="227" t="s">
        <v>402</v>
      </c>
      <c r="C1205" s="227" t="s">
        <v>18</v>
      </c>
      <c r="D1205" s="227" t="s">
        <v>13</v>
      </c>
      <c r="E1205" s="227" t="s">
        <v>363</v>
      </c>
      <c r="F1205" s="227" t="s">
        <v>70</v>
      </c>
      <c r="G1205" s="227" t="s">
        <v>429</v>
      </c>
      <c r="H1205" s="227" t="s">
        <v>430</v>
      </c>
      <c r="I1205" s="237" t="s">
        <v>95</v>
      </c>
      <c r="J1205" s="238"/>
      <c r="K1205" s="238"/>
      <c r="L1205" s="238"/>
      <c r="M1205" s="238"/>
      <c r="N1205" s="238"/>
      <c r="O1205" s="238"/>
      <c r="P1205" s="238">
        <v>826034.97</v>
      </c>
      <c r="Q1205" s="238"/>
      <c r="R1205" s="238"/>
      <c r="S1205" s="238"/>
      <c r="T1205" s="238"/>
      <c r="U1205" s="238"/>
      <c r="V1205" s="238">
        <f t="shared" si="1176"/>
        <v>826034.97</v>
      </c>
      <c r="W1205" s="238">
        <f t="shared" si="1176"/>
        <v>0</v>
      </c>
      <c r="X1205" s="238">
        <f t="shared" si="1176"/>
        <v>0</v>
      </c>
    </row>
    <row r="1206" spans="1:24" s="229" customFormat="1" hidden="1">
      <c r="A1206" s="235" t="s">
        <v>83</v>
      </c>
      <c r="B1206" s="227" t="s">
        <v>402</v>
      </c>
      <c r="C1206" s="227" t="s">
        <v>18</v>
      </c>
      <c r="D1206" s="227" t="s">
        <v>13</v>
      </c>
      <c r="E1206" s="227" t="s">
        <v>82</v>
      </c>
      <c r="F1206" s="227" t="s">
        <v>70</v>
      </c>
      <c r="G1206" s="227" t="s">
        <v>148</v>
      </c>
      <c r="H1206" s="227" t="s">
        <v>149</v>
      </c>
      <c r="I1206" s="237"/>
      <c r="J1206" s="238"/>
      <c r="K1206" s="238"/>
      <c r="L1206" s="238"/>
      <c r="M1206" s="238"/>
      <c r="N1206" s="238"/>
      <c r="O1206" s="238"/>
      <c r="P1206" s="238">
        <f>P1207+P1210+P1213</f>
        <v>1828084</v>
      </c>
      <c r="Q1206" s="238">
        <f t="shared" ref="Q1206:U1206" si="1182">Q1207+Q1210+Q1213</f>
        <v>1856985.3199999998</v>
      </c>
      <c r="R1206" s="238">
        <f t="shared" si="1182"/>
        <v>1825928.65</v>
      </c>
      <c r="S1206" s="238">
        <f t="shared" si="1182"/>
        <v>100000</v>
      </c>
      <c r="T1206" s="238">
        <f t="shared" si="1182"/>
        <v>0</v>
      </c>
      <c r="U1206" s="238">
        <f t="shared" si="1182"/>
        <v>0</v>
      </c>
      <c r="V1206" s="238">
        <f t="shared" si="1176"/>
        <v>1928084</v>
      </c>
      <c r="W1206" s="238">
        <f t="shared" si="1176"/>
        <v>1856985.3199999998</v>
      </c>
      <c r="X1206" s="238">
        <f t="shared" si="1176"/>
        <v>1825928.65</v>
      </c>
    </row>
    <row r="1207" spans="1:24" s="229" customFormat="1" ht="14.25" hidden="1">
      <c r="A1207" s="283" t="s">
        <v>362</v>
      </c>
      <c r="B1207" s="227" t="s">
        <v>402</v>
      </c>
      <c r="C1207" s="227" t="s">
        <v>18</v>
      </c>
      <c r="D1207" s="227" t="s">
        <v>13</v>
      </c>
      <c r="E1207" s="227" t="s">
        <v>82</v>
      </c>
      <c r="F1207" s="227" t="s">
        <v>70</v>
      </c>
      <c r="G1207" s="227" t="s">
        <v>148</v>
      </c>
      <c r="H1207" s="227" t="s">
        <v>361</v>
      </c>
      <c r="I1207" s="237"/>
      <c r="J1207" s="238"/>
      <c r="K1207" s="238"/>
      <c r="L1207" s="238"/>
      <c r="M1207" s="238"/>
      <c r="N1207" s="238"/>
      <c r="O1207" s="238"/>
      <c r="P1207" s="238">
        <f>P1208</f>
        <v>115364</v>
      </c>
      <c r="Q1207" s="238">
        <f t="shared" ref="Q1207:U1208" si="1183">Q1208</f>
        <v>115364</v>
      </c>
      <c r="R1207" s="238">
        <f t="shared" si="1183"/>
        <v>115364</v>
      </c>
      <c r="S1207" s="238">
        <f t="shared" si="1183"/>
        <v>0</v>
      </c>
      <c r="T1207" s="238">
        <f t="shared" si="1183"/>
        <v>0</v>
      </c>
      <c r="U1207" s="238">
        <f t="shared" si="1183"/>
        <v>0</v>
      </c>
      <c r="V1207" s="238">
        <f t="shared" si="1176"/>
        <v>115364</v>
      </c>
      <c r="W1207" s="238">
        <f t="shared" si="1176"/>
        <v>115364</v>
      </c>
      <c r="X1207" s="238">
        <f t="shared" si="1176"/>
        <v>115364</v>
      </c>
    </row>
    <row r="1208" spans="1:24" s="229" customFormat="1" ht="25.5" hidden="1">
      <c r="A1208" s="240" t="s">
        <v>260</v>
      </c>
      <c r="B1208" s="227" t="s">
        <v>402</v>
      </c>
      <c r="C1208" s="227" t="s">
        <v>18</v>
      </c>
      <c r="D1208" s="227" t="s">
        <v>13</v>
      </c>
      <c r="E1208" s="227" t="s">
        <v>82</v>
      </c>
      <c r="F1208" s="227" t="s">
        <v>70</v>
      </c>
      <c r="G1208" s="227" t="s">
        <v>148</v>
      </c>
      <c r="H1208" s="227" t="s">
        <v>361</v>
      </c>
      <c r="I1208" s="237" t="s">
        <v>94</v>
      </c>
      <c r="J1208" s="238"/>
      <c r="K1208" s="238"/>
      <c r="L1208" s="238"/>
      <c r="M1208" s="238"/>
      <c r="N1208" s="238"/>
      <c r="O1208" s="238"/>
      <c r="P1208" s="238">
        <f>P1209</f>
        <v>115364</v>
      </c>
      <c r="Q1208" s="238">
        <f t="shared" si="1183"/>
        <v>115364</v>
      </c>
      <c r="R1208" s="238">
        <f t="shared" si="1183"/>
        <v>115364</v>
      </c>
      <c r="S1208" s="238">
        <f t="shared" si="1183"/>
        <v>0</v>
      </c>
      <c r="T1208" s="238">
        <f t="shared" si="1183"/>
        <v>0</v>
      </c>
      <c r="U1208" s="238">
        <f t="shared" si="1183"/>
        <v>0</v>
      </c>
      <c r="V1208" s="238">
        <f t="shared" si="1176"/>
        <v>115364</v>
      </c>
      <c r="W1208" s="238">
        <f t="shared" si="1176"/>
        <v>115364</v>
      </c>
      <c r="X1208" s="238">
        <f t="shared" si="1176"/>
        <v>115364</v>
      </c>
    </row>
    <row r="1209" spans="1:24" s="229" customFormat="1" ht="25.5" hidden="1">
      <c r="A1209" s="239" t="s">
        <v>98</v>
      </c>
      <c r="B1209" s="227" t="s">
        <v>402</v>
      </c>
      <c r="C1209" s="227" t="s">
        <v>18</v>
      </c>
      <c r="D1209" s="227" t="s">
        <v>13</v>
      </c>
      <c r="E1209" s="227" t="s">
        <v>82</v>
      </c>
      <c r="F1209" s="227" t="s">
        <v>70</v>
      </c>
      <c r="G1209" s="227" t="s">
        <v>148</v>
      </c>
      <c r="H1209" s="227" t="s">
        <v>361</v>
      </c>
      <c r="I1209" s="237" t="s">
        <v>95</v>
      </c>
      <c r="J1209" s="238"/>
      <c r="K1209" s="238"/>
      <c r="L1209" s="238"/>
      <c r="M1209" s="238"/>
      <c r="N1209" s="238"/>
      <c r="O1209" s="238"/>
      <c r="P1209" s="238">
        <v>115364</v>
      </c>
      <c r="Q1209" s="238">
        <v>115364</v>
      </c>
      <c r="R1209" s="238">
        <v>115364</v>
      </c>
      <c r="S1209" s="238"/>
      <c r="T1209" s="238"/>
      <c r="U1209" s="238"/>
      <c r="V1209" s="238">
        <f t="shared" si="1176"/>
        <v>115364</v>
      </c>
      <c r="W1209" s="238">
        <f t="shared" si="1176"/>
        <v>115364</v>
      </c>
      <c r="X1209" s="238">
        <f t="shared" si="1176"/>
        <v>115364</v>
      </c>
    </row>
    <row r="1210" spans="1:24" s="229" customFormat="1" hidden="1">
      <c r="A1210" s="239" t="s">
        <v>367</v>
      </c>
      <c r="B1210" s="227" t="s">
        <v>402</v>
      </c>
      <c r="C1210" s="227" t="s">
        <v>18</v>
      </c>
      <c r="D1210" s="227" t="s">
        <v>13</v>
      </c>
      <c r="E1210" s="227" t="s">
        <v>82</v>
      </c>
      <c r="F1210" s="227" t="s">
        <v>70</v>
      </c>
      <c r="G1210" s="227" t="s">
        <v>148</v>
      </c>
      <c r="H1210" s="227" t="s">
        <v>360</v>
      </c>
      <c r="I1210" s="237"/>
      <c r="J1210" s="238"/>
      <c r="K1210" s="238"/>
      <c r="L1210" s="238"/>
      <c r="M1210" s="238"/>
      <c r="N1210" s="238"/>
      <c r="O1210" s="238"/>
      <c r="P1210" s="238">
        <f>P1211</f>
        <v>1712720</v>
      </c>
      <c r="Q1210" s="238">
        <f t="shared" ref="Q1210:U1211" si="1184">Q1211</f>
        <v>1741621.3199999998</v>
      </c>
      <c r="R1210" s="238">
        <f t="shared" si="1184"/>
        <v>1710564.65</v>
      </c>
      <c r="S1210" s="238">
        <f t="shared" si="1184"/>
        <v>0</v>
      </c>
      <c r="T1210" s="238">
        <f t="shared" si="1184"/>
        <v>0</v>
      </c>
      <c r="U1210" s="238">
        <f t="shared" si="1184"/>
        <v>0</v>
      </c>
      <c r="V1210" s="238">
        <f t="shared" si="1176"/>
        <v>1712720</v>
      </c>
      <c r="W1210" s="238">
        <f t="shared" si="1176"/>
        <v>1741621.3199999998</v>
      </c>
      <c r="X1210" s="238">
        <f t="shared" si="1176"/>
        <v>1710564.65</v>
      </c>
    </row>
    <row r="1211" spans="1:24" s="229" customFormat="1" ht="25.5" hidden="1">
      <c r="A1211" s="240" t="s">
        <v>260</v>
      </c>
      <c r="B1211" s="227" t="s">
        <v>402</v>
      </c>
      <c r="C1211" s="227" t="s">
        <v>18</v>
      </c>
      <c r="D1211" s="227" t="s">
        <v>13</v>
      </c>
      <c r="E1211" s="227" t="s">
        <v>82</v>
      </c>
      <c r="F1211" s="227" t="s">
        <v>70</v>
      </c>
      <c r="G1211" s="227" t="s">
        <v>148</v>
      </c>
      <c r="H1211" s="227" t="s">
        <v>360</v>
      </c>
      <c r="I1211" s="237" t="s">
        <v>94</v>
      </c>
      <c r="J1211" s="238"/>
      <c r="K1211" s="238"/>
      <c r="L1211" s="238"/>
      <c r="M1211" s="238"/>
      <c r="N1211" s="238"/>
      <c r="O1211" s="238"/>
      <c r="P1211" s="238">
        <f>P1212</f>
        <v>1712720</v>
      </c>
      <c r="Q1211" s="238">
        <f t="shared" si="1184"/>
        <v>1741621.3199999998</v>
      </c>
      <c r="R1211" s="238">
        <f t="shared" si="1184"/>
        <v>1710564.65</v>
      </c>
      <c r="S1211" s="238">
        <f t="shared" si="1184"/>
        <v>0</v>
      </c>
      <c r="T1211" s="238">
        <f t="shared" si="1184"/>
        <v>0</v>
      </c>
      <c r="U1211" s="238">
        <f t="shared" si="1184"/>
        <v>0</v>
      </c>
      <c r="V1211" s="238">
        <f t="shared" si="1176"/>
        <v>1712720</v>
      </c>
      <c r="W1211" s="238">
        <f t="shared" si="1176"/>
        <v>1741621.3199999998</v>
      </c>
      <c r="X1211" s="238">
        <f t="shared" si="1176"/>
        <v>1710564.65</v>
      </c>
    </row>
    <row r="1212" spans="1:24" s="229" customFormat="1" ht="25.5" hidden="1">
      <c r="A1212" s="239" t="s">
        <v>98</v>
      </c>
      <c r="B1212" s="227" t="s">
        <v>402</v>
      </c>
      <c r="C1212" s="227" t="s">
        <v>18</v>
      </c>
      <c r="D1212" s="227" t="s">
        <v>13</v>
      </c>
      <c r="E1212" s="227" t="s">
        <v>82</v>
      </c>
      <c r="F1212" s="227" t="s">
        <v>70</v>
      </c>
      <c r="G1212" s="227" t="s">
        <v>148</v>
      </c>
      <c r="H1212" s="227" t="s">
        <v>360</v>
      </c>
      <c r="I1212" s="237" t="s">
        <v>95</v>
      </c>
      <c r="J1212" s="238"/>
      <c r="K1212" s="238"/>
      <c r="L1212" s="238"/>
      <c r="M1212" s="238"/>
      <c r="N1212" s="238"/>
      <c r="O1212" s="238"/>
      <c r="P1212" s="238">
        <f>990212+722508</f>
        <v>1712720</v>
      </c>
      <c r="Q1212" s="238">
        <f>1008112.32+733509</f>
        <v>1741621.3199999998</v>
      </c>
      <c r="R1212" s="238">
        <f>989323.65+721241</f>
        <v>1710564.65</v>
      </c>
      <c r="S1212" s="238"/>
      <c r="T1212" s="238"/>
      <c r="U1212" s="238"/>
      <c r="V1212" s="238">
        <f t="shared" si="1176"/>
        <v>1712720</v>
      </c>
      <c r="W1212" s="238">
        <f t="shared" si="1176"/>
        <v>1741621.3199999998</v>
      </c>
      <c r="X1212" s="238">
        <f t="shared" si="1176"/>
        <v>1710564.65</v>
      </c>
    </row>
    <row r="1213" spans="1:24" s="229" customFormat="1" hidden="1">
      <c r="A1213" s="241" t="s">
        <v>240</v>
      </c>
      <c r="B1213" s="227" t="s">
        <v>402</v>
      </c>
      <c r="C1213" s="227" t="s">
        <v>18</v>
      </c>
      <c r="D1213" s="227" t="s">
        <v>13</v>
      </c>
      <c r="E1213" s="227" t="s">
        <v>82</v>
      </c>
      <c r="F1213" s="227" t="s">
        <v>70</v>
      </c>
      <c r="G1213" s="227" t="s">
        <v>148</v>
      </c>
      <c r="H1213" s="227" t="s">
        <v>241</v>
      </c>
      <c r="I1213" s="237"/>
      <c r="J1213" s="238"/>
      <c r="K1213" s="238"/>
      <c r="L1213" s="238"/>
      <c r="M1213" s="238"/>
      <c r="N1213" s="238"/>
      <c r="O1213" s="238"/>
      <c r="P1213" s="238">
        <f>P1214</f>
        <v>0</v>
      </c>
      <c r="Q1213" s="238">
        <f t="shared" ref="Q1213:U1214" si="1185">Q1214</f>
        <v>0</v>
      </c>
      <c r="R1213" s="238">
        <f t="shared" si="1185"/>
        <v>0</v>
      </c>
      <c r="S1213" s="238">
        <f t="shared" si="1185"/>
        <v>100000</v>
      </c>
      <c r="T1213" s="238">
        <f t="shared" si="1185"/>
        <v>0</v>
      </c>
      <c r="U1213" s="238">
        <f t="shared" si="1185"/>
        <v>0</v>
      </c>
      <c r="V1213" s="238">
        <f t="shared" ref="V1213:X1215" si="1186">P1213+S1213</f>
        <v>100000</v>
      </c>
      <c r="W1213" s="238">
        <f t="shared" si="1186"/>
        <v>0</v>
      </c>
      <c r="X1213" s="238">
        <f t="shared" si="1186"/>
        <v>0</v>
      </c>
    </row>
    <row r="1214" spans="1:24" s="229" customFormat="1" ht="25.5" hidden="1">
      <c r="A1214" s="240" t="s">
        <v>260</v>
      </c>
      <c r="B1214" s="227" t="s">
        <v>402</v>
      </c>
      <c r="C1214" s="227" t="s">
        <v>18</v>
      </c>
      <c r="D1214" s="227" t="s">
        <v>13</v>
      </c>
      <c r="E1214" s="227" t="s">
        <v>82</v>
      </c>
      <c r="F1214" s="227" t="s">
        <v>70</v>
      </c>
      <c r="G1214" s="227" t="s">
        <v>148</v>
      </c>
      <c r="H1214" s="227" t="s">
        <v>241</v>
      </c>
      <c r="I1214" s="237" t="s">
        <v>94</v>
      </c>
      <c r="J1214" s="238"/>
      <c r="K1214" s="238"/>
      <c r="L1214" s="238"/>
      <c r="M1214" s="238"/>
      <c r="N1214" s="238"/>
      <c r="O1214" s="238"/>
      <c r="P1214" s="238">
        <f>P1215</f>
        <v>0</v>
      </c>
      <c r="Q1214" s="238">
        <f t="shared" si="1185"/>
        <v>0</v>
      </c>
      <c r="R1214" s="238">
        <f t="shared" si="1185"/>
        <v>0</v>
      </c>
      <c r="S1214" s="238">
        <f t="shared" si="1185"/>
        <v>100000</v>
      </c>
      <c r="T1214" s="238">
        <f t="shared" si="1185"/>
        <v>0</v>
      </c>
      <c r="U1214" s="238">
        <f t="shared" si="1185"/>
        <v>0</v>
      </c>
      <c r="V1214" s="238">
        <f t="shared" si="1186"/>
        <v>100000</v>
      </c>
      <c r="W1214" s="238">
        <f t="shared" si="1186"/>
        <v>0</v>
      </c>
      <c r="X1214" s="238">
        <f t="shared" si="1186"/>
        <v>0</v>
      </c>
    </row>
    <row r="1215" spans="1:24" s="229" customFormat="1" ht="25.5" hidden="1">
      <c r="A1215" s="239" t="s">
        <v>98</v>
      </c>
      <c r="B1215" s="227" t="s">
        <v>402</v>
      </c>
      <c r="C1215" s="227" t="s">
        <v>18</v>
      </c>
      <c r="D1215" s="227" t="s">
        <v>13</v>
      </c>
      <c r="E1215" s="227" t="s">
        <v>82</v>
      </c>
      <c r="F1215" s="227" t="s">
        <v>70</v>
      </c>
      <c r="G1215" s="227" t="s">
        <v>148</v>
      </c>
      <c r="H1215" s="227" t="s">
        <v>241</v>
      </c>
      <c r="I1215" s="237" t="s">
        <v>95</v>
      </c>
      <c r="J1215" s="238"/>
      <c r="K1215" s="238"/>
      <c r="L1215" s="238"/>
      <c r="M1215" s="238"/>
      <c r="N1215" s="238"/>
      <c r="O1215" s="238"/>
      <c r="P1215" s="238"/>
      <c r="Q1215" s="238"/>
      <c r="R1215" s="238"/>
      <c r="S1215" s="238">
        <v>100000</v>
      </c>
      <c r="T1215" s="238"/>
      <c r="U1215" s="238"/>
      <c r="V1215" s="238">
        <f t="shared" si="1186"/>
        <v>100000</v>
      </c>
      <c r="W1215" s="238">
        <f t="shared" si="1186"/>
        <v>0</v>
      </c>
      <c r="X1215" s="238">
        <f t="shared" si="1186"/>
        <v>0</v>
      </c>
    </row>
    <row r="1216" spans="1:24" s="222" customFormat="1" ht="15.75" hidden="1">
      <c r="A1216" s="221" t="s">
        <v>461</v>
      </c>
      <c r="P1216" s="223">
        <f t="shared" ref="P1216:X1216" si="1187">P1217+P1233+P1241+P1247+P1258</f>
        <v>13357657.489999998</v>
      </c>
      <c r="Q1216" s="223">
        <f t="shared" si="1187"/>
        <v>6020689.3399999989</v>
      </c>
      <c r="R1216" s="223">
        <f t="shared" si="1187"/>
        <v>6001476.9399999995</v>
      </c>
      <c r="S1216" s="223">
        <f t="shared" si="1187"/>
        <v>42197.88</v>
      </c>
      <c r="T1216" s="223">
        <f t="shared" si="1187"/>
        <v>0</v>
      </c>
      <c r="U1216" s="223">
        <f t="shared" si="1187"/>
        <v>0</v>
      </c>
      <c r="V1216" s="223">
        <f t="shared" si="1187"/>
        <v>13399855.369999999</v>
      </c>
      <c r="W1216" s="223">
        <f t="shared" si="1187"/>
        <v>6020689.3399999989</v>
      </c>
      <c r="X1216" s="223">
        <f t="shared" si="1187"/>
        <v>6001476.9399999995</v>
      </c>
    </row>
    <row r="1217" spans="1:24" s="229" customFormat="1" ht="15.75" hidden="1">
      <c r="A1217" s="225" t="s">
        <v>32</v>
      </c>
      <c r="B1217" s="226" t="s">
        <v>402</v>
      </c>
      <c r="C1217" s="226" t="s">
        <v>20</v>
      </c>
      <c r="D1217" s="227"/>
      <c r="E1217" s="227"/>
      <c r="F1217" s="227"/>
      <c r="G1217" s="227"/>
      <c r="H1217" s="227"/>
      <c r="I1217" s="227"/>
      <c r="J1217" s="228"/>
      <c r="K1217" s="228"/>
      <c r="L1217" s="228"/>
      <c r="M1217" s="228"/>
      <c r="N1217" s="228"/>
      <c r="O1217" s="228"/>
      <c r="P1217" s="228">
        <f t="shared" ref="P1217:U1217" si="1188">P1218+P1227</f>
        <v>4888519.7699999996</v>
      </c>
      <c r="Q1217" s="228">
        <f t="shared" si="1188"/>
        <v>4755829.7799999993</v>
      </c>
      <c r="R1217" s="228">
        <f t="shared" si="1188"/>
        <v>4757123.08</v>
      </c>
      <c r="S1217" s="228">
        <f t="shared" si="1188"/>
        <v>42197.88</v>
      </c>
      <c r="T1217" s="228">
        <f t="shared" si="1188"/>
        <v>0</v>
      </c>
      <c r="U1217" s="228">
        <f t="shared" si="1188"/>
        <v>0</v>
      </c>
      <c r="V1217" s="228">
        <f t="shared" ref="V1217:X1232" si="1189">P1217+S1217</f>
        <v>4930717.6499999994</v>
      </c>
      <c r="W1217" s="228">
        <f t="shared" si="1189"/>
        <v>4755829.7799999993</v>
      </c>
      <c r="X1217" s="228">
        <f t="shared" si="1189"/>
        <v>4757123.08</v>
      </c>
    </row>
    <row r="1218" spans="1:24" s="229" customFormat="1" ht="38.25" hidden="1">
      <c r="A1218" s="230" t="s">
        <v>0</v>
      </c>
      <c r="B1218" s="231" t="s">
        <v>402</v>
      </c>
      <c r="C1218" s="231" t="s">
        <v>20</v>
      </c>
      <c r="D1218" s="231" t="s">
        <v>16</v>
      </c>
      <c r="E1218" s="231"/>
      <c r="F1218" s="231"/>
      <c r="G1218" s="231"/>
      <c r="H1218" s="227"/>
      <c r="I1218" s="237"/>
      <c r="J1218" s="234"/>
      <c r="K1218" s="234"/>
      <c r="L1218" s="234"/>
      <c r="M1218" s="234"/>
      <c r="N1218" s="234"/>
      <c r="O1218" s="234"/>
      <c r="P1218" s="234">
        <f>P1219</f>
        <v>4696285</v>
      </c>
      <c r="Q1218" s="234">
        <f t="shared" ref="Q1218:U1219" si="1190">Q1219</f>
        <v>4755829.7799999993</v>
      </c>
      <c r="R1218" s="234">
        <f t="shared" si="1190"/>
        <v>4757123.08</v>
      </c>
      <c r="S1218" s="234">
        <f t="shared" si="1190"/>
        <v>0</v>
      </c>
      <c r="T1218" s="234">
        <f t="shared" si="1190"/>
        <v>0</v>
      </c>
      <c r="U1218" s="234">
        <f t="shared" si="1190"/>
        <v>0</v>
      </c>
      <c r="V1218" s="234">
        <f t="shared" si="1189"/>
        <v>4696285</v>
      </c>
      <c r="W1218" s="234">
        <f t="shared" si="1189"/>
        <v>4755829.7799999993</v>
      </c>
      <c r="X1218" s="234">
        <f t="shared" si="1189"/>
        <v>4757123.08</v>
      </c>
    </row>
    <row r="1219" spans="1:24" s="229" customFormat="1" hidden="1">
      <c r="A1219" s="235" t="s">
        <v>83</v>
      </c>
      <c r="B1219" s="227" t="s">
        <v>402</v>
      </c>
      <c r="C1219" s="227" t="s">
        <v>20</v>
      </c>
      <c r="D1219" s="227" t="s">
        <v>16</v>
      </c>
      <c r="E1219" s="227" t="s">
        <v>82</v>
      </c>
      <c r="F1219" s="227" t="s">
        <v>70</v>
      </c>
      <c r="G1219" s="227" t="s">
        <v>148</v>
      </c>
      <c r="H1219" s="227" t="s">
        <v>149</v>
      </c>
      <c r="I1219" s="237"/>
      <c r="J1219" s="238"/>
      <c r="K1219" s="238"/>
      <c r="L1219" s="238"/>
      <c r="M1219" s="238"/>
      <c r="N1219" s="238"/>
      <c r="O1219" s="238"/>
      <c r="P1219" s="238">
        <f>P1220</f>
        <v>4696285</v>
      </c>
      <c r="Q1219" s="238">
        <f t="shared" si="1190"/>
        <v>4755829.7799999993</v>
      </c>
      <c r="R1219" s="238">
        <f t="shared" si="1190"/>
        <v>4757123.08</v>
      </c>
      <c r="S1219" s="238">
        <f t="shared" si="1190"/>
        <v>0</v>
      </c>
      <c r="T1219" s="238">
        <f t="shared" si="1190"/>
        <v>0</v>
      </c>
      <c r="U1219" s="238">
        <f t="shared" si="1190"/>
        <v>0</v>
      </c>
      <c r="V1219" s="238">
        <f t="shared" si="1189"/>
        <v>4696285</v>
      </c>
      <c r="W1219" s="238">
        <f t="shared" si="1189"/>
        <v>4755829.7799999993</v>
      </c>
      <c r="X1219" s="238">
        <f t="shared" si="1189"/>
        <v>4757123.08</v>
      </c>
    </row>
    <row r="1220" spans="1:24" s="229" customFormat="1" ht="25.5" hidden="1">
      <c r="A1220" s="235" t="s">
        <v>87</v>
      </c>
      <c r="B1220" s="227" t="s">
        <v>402</v>
      </c>
      <c r="C1220" s="227" t="s">
        <v>20</v>
      </c>
      <c r="D1220" s="227" t="s">
        <v>16</v>
      </c>
      <c r="E1220" s="227" t="s">
        <v>82</v>
      </c>
      <c r="F1220" s="227" t="s">
        <v>70</v>
      </c>
      <c r="G1220" s="227" t="s">
        <v>148</v>
      </c>
      <c r="H1220" s="227" t="s">
        <v>158</v>
      </c>
      <c r="I1220" s="237"/>
      <c r="J1220" s="238"/>
      <c r="K1220" s="238"/>
      <c r="L1220" s="238"/>
      <c r="M1220" s="238"/>
      <c r="N1220" s="238"/>
      <c r="O1220" s="238"/>
      <c r="P1220" s="238">
        <f>P1221+P1223+P1225</f>
        <v>4696285</v>
      </c>
      <c r="Q1220" s="238">
        <f t="shared" ref="Q1220:U1220" si="1191">Q1221+Q1223+Q1225</f>
        <v>4755829.7799999993</v>
      </c>
      <c r="R1220" s="238">
        <f t="shared" si="1191"/>
        <v>4757123.08</v>
      </c>
      <c r="S1220" s="238">
        <f t="shared" si="1191"/>
        <v>0</v>
      </c>
      <c r="T1220" s="238">
        <f t="shared" si="1191"/>
        <v>0</v>
      </c>
      <c r="U1220" s="238">
        <f t="shared" si="1191"/>
        <v>0</v>
      </c>
      <c r="V1220" s="238">
        <f t="shared" si="1189"/>
        <v>4696285</v>
      </c>
      <c r="W1220" s="238">
        <f t="shared" si="1189"/>
        <v>4755829.7799999993</v>
      </c>
      <c r="X1220" s="238">
        <f t="shared" si="1189"/>
        <v>4757123.08</v>
      </c>
    </row>
    <row r="1221" spans="1:24" s="229" customFormat="1" ht="38.25" hidden="1">
      <c r="A1221" s="239" t="s">
        <v>96</v>
      </c>
      <c r="B1221" s="227" t="s">
        <v>402</v>
      </c>
      <c r="C1221" s="227" t="s">
        <v>20</v>
      </c>
      <c r="D1221" s="227" t="s">
        <v>16</v>
      </c>
      <c r="E1221" s="227" t="s">
        <v>82</v>
      </c>
      <c r="F1221" s="227" t="s">
        <v>70</v>
      </c>
      <c r="G1221" s="227" t="s">
        <v>148</v>
      </c>
      <c r="H1221" s="227" t="s">
        <v>158</v>
      </c>
      <c r="I1221" s="237" t="s">
        <v>92</v>
      </c>
      <c r="J1221" s="238"/>
      <c r="K1221" s="238"/>
      <c r="L1221" s="238"/>
      <c r="M1221" s="238"/>
      <c r="N1221" s="238"/>
      <c r="O1221" s="238"/>
      <c r="P1221" s="238">
        <f>P1222</f>
        <v>4075693</v>
      </c>
      <c r="Q1221" s="238">
        <f t="shared" ref="Q1221:U1221" si="1192">Q1222</f>
        <v>4115343.6599999997</v>
      </c>
      <c r="R1221" s="238">
        <f t="shared" si="1192"/>
        <v>4115393.08</v>
      </c>
      <c r="S1221" s="238">
        <f t="shared" si="1192"/>
        <v>0</v>
      </c>
      <c r="T1221" s="238">
        <f t="shared" si="1192"/>
        <v>0</v>
      </c>
      <c r="U1221" s="238">
        <f t="shared" si="1192"/>
        <v>0</v>
      </c>
      <c r="V1221" s="238">
        <f t="shared" si="1189"/>
        <v>4075693</v>
      </c>
      <c r="W1221" s="238">
        <f t="shared" si="1189"/>
        <v>4115343.6599999997</v>
      </c>
      <c r="X1221" s="238">
        <f t="shared" si="1189"/>
        <v>4115393.08</v>
      </c>
    </row>
    <row r="1222" spans="1:24" s="229" customFormat="1" hidden="1">
      <c r="A1222" s="239" t="s">
        <v>103</v>
      </c>
      <c r="B1222" s="227" t="s">
        <v>402</v>
      </c>
      <c r="C1222" s="227" t="s">
        <v>20</v>
      </c>
      <c r="D1222" s="227" t="s">
        <v>16</v>
      </c>
      <c r="E1222" s="227" t="s">
        <v>82</v>
      </c>
      <c r="F1222" s="227" t="s">
        <v>70</v>
      </c>
      <c r="G1222" s="227" t="s">
        <v>148</v>
      </c>
      <c r="H1222" s="227" t="s">
        <v>158</v>
      </c>
      <c r="I1222" s="237" t="s">
        <v>102</v>
      </c>
      <c r="J1222" s="238"/>
      <c r="K1222" s="238"/>
      <c r="L1222" s="238"/>
      <c r="M1222" s="238"/>
      <c r="N1222" s="238"/>
      <c r="O1222" s="238"/>
      <c r="P1222" s="238">
        <f>3045539+110402+919752</f>
        <v>4075693</v>
      </c>
      <c r="Q1222" s="238">
        <f>3075993.01+110402+928948.65</f>
        <v>4115343.6599999997</v>
      </c>
      <c r="R1222" s="238">
        <f>3106752.94+70402+938238.14</f>
        <v>4115393.08</v>
      </c>
      <c r="S1222" s="238"/>
      <c r="T1222" s="238"/>
      <c r="U1222" s="238"/>
      <c r="V1222" s="238">
        <f t="shared" si="1189"/>
        <v>4075693</v>
      </c>
      <c r="W1222" s="238">
        <f t="shared" si="1189"/>
        <v>4115343.6599999997</v>
      </c>
      <c r="X1222" s="238">
        <f t="shared" si="1189"/>
        <v>4115393.08</v>
      </c>
    </row>
    <row r="1223" spans="1:24" s="229" customFormat="1" ht="25.5" hidden="1">
      <c r="A1223" s="240" t="s">
        <v>260</v>
      </c>
      <c r="B1223" s="227" t="s">
        <v>402</v>
      </c>
      <c r="C1223" s="227" t="s">
        <v>20</v>
      </c>
      <c r="D1223" s="227" t="s">
        <v>16</v>
      </c>
      <c r="E1223" s="227" t="s">
        <v>82</v>
      </c>
      <c r="F1223" s="227" t="s">
        <v>70</v>
      </c>
      <c r="G1223" s="227" t="s">
        <v>148</v>
      </c>
      <c r="H1223" s="227" t="s">
        <v>158</v>
      </c>
      <c r="I1223" s="237" t="s">
        <v>94</v>
      </c>
      <c r="J1223" s="238"/>
      <c r="K1223" s="238"/>
      <c r="L1223" s="238"/>
      <c r="M1223" s="238"/>
      <c r="N1223" s="238"/>
      <c r="O1223" s="238"/>
      <c r="P1223" s="238">
        <f>P1224</f>
        <v>590592</v>
      </c>
      <c r="Q1223" s="238">
        <f t="shared" ref="Q1223:U1223" si="1193">Q1224</f>
        <v>610486.12</v>
      </c>
      <c r="R1223" s="238">
        <f t="shared" si="1193"/>
        <v>611730</v>
      </c>
      <c r="S1223" s="238">
        <f t="shared" si="1193"/>
        <v>0</v>
      </c>
      <c r="T1223" s="238">
        <f t="shared" si="1193"/>
        <v>0</v>
      </c>
      <c r="U1223" s="238">
        <f t="shared" si="1193"/>
        <v>0</v>
      </c>
      <c r="V1223" s="238">
        <f t="shared" si="1189"/>
        <v>590592</v>
      </c>
      <c r="W1223" s="238">
        <f t="shared" si="1189"/>
        <v>610486.12</v>
      </c>
      <c r="X1223" s="238">
        <f t="shared" si="1189"/>
        <v>611730</v>
      </c>
    </row>
    <row r="1224" spans="1:24" s="229" customFormat="1" ht="25.5" hidden="1">
      <c r="A1224" s="239" t="s">
        <v>98</v>
      </c>
      <c r="B1224" s="227" t="s">
        <v>402</v>
      </c>
      <c r="C1224" s="227" t="s">
        <v>20</v>
      </c>
      <c r="D1224" s="227" t="s">
        <v>16</v>
      </c>
      <c r="E1224" s="227" t="s">
        <v>82</v>
      </c>
      <c r="F1224" s="227" t="s">
        <v>70</v>
      </c>
      <c r="G1224" s="227" t="s">
        <v>148</v>
      </c>
      <c r="H1224" s="227" t="s">
        <v>158</v>
      </c>
      <c r="I1224" s="237" t="s">
        <v>95</v>
      </c>
      <c r="J1224" s="238"/>
      <c r="K1224" s="238"/>
      <c r="L1224" s="238"/>
      <c r="M1224" s="238"/>
      <c r="N1224" s="238"/>
      <c r="O1224" s="238"/>
      <c r="P1224" s="238">
        <f>544739+45853</f>
        <v>590592</v>
      </c>
      <c r="Q1224" s="238">
        <f>562799+47687.12</f>
        <v>610486.12</v>
      </c>
      <c r="R1224" s="238">
        <f>73793+537937</f>
        <v>611730</v>
      </c>
      <c r="S1224" s="238"/>
      <c r="T1224" s="238"/>
      <c r="U1224" s="238"/>
      <c r="V1224" s="238">
        <f t="shared" si="1189"/>
        <v>590592</v>
      </c>
      <c r="W1224" s="238">
        <f t="shared" si="1189"/>
        <v>610486.12</v>
      </c>
      <c r="X1224" s="238">
        <f t="shared" si="1189"/>
        <v>611730</v>
      </c>
    </row>
    <row r="1225" spans="1:24" s="229" customFormat="1" hidden="1">
      <c r="A1225" s="239" t="s">
        <v>80</v>
      </c>
      <c r="B1225" s="227" t="s">
        <v>402</v>
      </c>
      <c r="C1225" s="227" t="s">
        <v>20</v>
      </c>
      <c r="D1225" s="227" t="s">
        <v>16</v>
      </c>
      <c r="E1225" s="227" t="s">
        <v>82</v>
      </c>
      <c r="F1225" s="227" t="s">
        <v>70</v>
      </c>
      <c r="G1225" s="227" t="s">
        <v>148</v>
      </c>
      <c r="H1225" s="227" t="s">
        <v>158</v>
      </c>
      <c r="I1225" s="237" t="s">
        <v>77</v>
      </c>
      <c r="J1225" s="238"/>
      <c r="K1225" s="238"/>
      <c r="L1225" s="238"/>
      <c r="M1225" s="238"/>
      <c r="N1225" s="238"/>
      <c r="O1225" s="238"/>
      <c r="P1225" s="238">
        <f>P1226</f>
        <v>30000</v>
      </c>
      <c r="Q1225" s="238">
        <f t="shared" ref="Q1225:U1225" si="1194">Q1226</f>
        <v>30000</v>
      </c>
      <c r="R1225" s="238">
        <f t="shared" si="1194"/>
        <v>30000</v>
      </c>
      <c r="S1225" s="238">
        <f t="shared" si="1194"/>
        <v>0</v>
      </c>
      <c r="T1225" s="238">
        <f t="shared" si="1194"/>
        <v>0</v>
      </c>
      <c r="U1225" s="238">
        <f t="shared" si="1194"/>
        <v>0</v>
      </c>
      <c r="V1225" s="238">
        <f t="shared" si="1189"/>
        <v>30000</v>
      </c>
      <c r="W1225" s="238">
        <f t="shared" si="1189"/>
        <v>30000</v>
      </c>
      <c r="X1225" s="238">
        <f t="shared" si="1189"/>
        <v>30000</v>
      </c>
    </row>
    <row r="1226" spans="1:24" s="229" customFormat="1" hidden="1">
      <c r="A1226" s="241" t="s">
        <v>125</v>
      </c>
      <c r="B1226" s="227" t="s">
        <v>402</v>
      </c>
      <c r="C1226" s="227" t="s">
        <v>20</v>
      </c>
      <c r="D1226" s="227" t="s">
        <v>16</v>
      </c>
      <c r="E1226" s="227" t="s">
        <v>82</v>
      </c>
      <c r="F1226" s="227" t="s">
        <v>70</v>
      </c>
      <c r="G1226" s="227" t="s">
        <v>148</v>
      </c>
      <c r="H1226" s="227" t="s">
        <v>158</v>
      </c>
      <c r="I1226" s="237" t="s">
        <v>124</v>
      </c>
      <c r="J1226" s="238"/>
      <c r="K1226" s="238"/>
      <c r="L1226" s="238"/>
      <c r="M1226" s="238"/>
      <c r="N1226" s="238"/>
      <c r="O1226" s="238"/>
      <c r="P1226" s="238">
        <f>22000+8000</f>
        <v>30000</v>
      </c>
      <c r="Q1226" s="238">
        <v>30000</v>
      </c>
      <c r="R1226" s="238">
        <v>30000</v>
      </c>
      <c r="S1226" s="238"/>
      <c r="T1226" s="238"/>
      <c r="U1226" s="238"/>
      <c r="V1226" s="238">
        <f t="shared" si="1189"/>
        <v>30000</v>
      </c>
      <c r="W1226" s="238">
        <f t="shared" si="1189"/>
        <v>30000</v>
      </c>
      <c r="X1226" s="238">
        <f t="shared" si="1189"/>
        <v>30000</v>
      </c>
    </row>
    <row r="1227" spans="1:24" s="229" customFormat="1" hidden="1">
      <c r="A1227" s="230" t="s">
        <v>1</v>
      </c>
      <c r="B1227" s="231" t="s">
        <v>402</v>
      </c>
      <c r="C1227" s="231" t="s">
        <v>20</v>
      </c>
      <c r="D1227" s="231" t="s">
        <v>49</v>
      </c>
      <c r="E1227" s="231"/>
      <c r="F1227" s="231"/>
      <c r="G1227" s="231"/>
      <c r="H1227" s="227"/>
      <c r="I1227" s="237"/>
      <c r="J1227" s="234"/>
      <c r="K1227" s="234"/>
      <c r="L1227" s="234"/>
      <c r="M1227" s="234"/>
      <c r="N1227" s="234"/>
      <c r="O1227" s="234"/>
      <c r="P1227" s="234">
        <f>P1228</f>
        <v>192234.77</v>
      </c>
      <c r="Q1227" s="234">
        <f t="shared" ref="Q1227:U1231" si="1195">Q1228</f>
        <v>0</v>
      </c>
      <c r="R1227" s="234">
        <f t="shared" si="1195"/>
        <v>0</v>
      </c>
      <c r="S1227" s="234">
        <f t="shared" si="1195"/>
        <v>42197.88</v>
      </c>
      <c r="T1227" s="234">
        <f t="shared" si="1195"/>
        <v>0</v>
      </c>
      <c r="U1227" s="234">
        <f t="shared" si="1195"/>
        <v>0</v>
      </c>
      <c r="V1227" s="234">
        <f t="shared" si="1189"/>
        <v>234432.65</v>
      </c>
      <c r="W1227" s="234">
        <f t="shared" si="1189"/>
        <v>0</v>
      </c>
      <c r="X1227" s="234">
        <f t="shared" si="1189"/>
        <v>0</v>
      </c>
    </row>
    <row r="1228" spans="1:24" s="229" customFormat="1" ht="38.25" hidden="1">
      <c r="A1228" s="241" t="s">
        <v>294</v>
      </c>
      <c r="B1228" s="247" t="s">
        <v>402</v>
      </c>
      <c r="C1228" s="247" t="s">
        <v>20</v>
      </c>
      <c r="D1228" s="247" t="s">
        <v>49</v>
      </c>
      <c r="E1228" s="227" t="s">
        <v>19</v>
      </c>
      <c r="F1228" s="227" t="s">
        <v>70</v>
      </c>
      <c r="G1228" s="227" t="s">
        <v>148</v>
      </c>
      <c r="H1228" s="247" t="s">
        <v>149</v>
      </c>
      <c r="I1228" s="248"/>
      <c r="J1228" s="238"/>
      <c r="K1228" s="238"/>
      <c r="L1228" s="238"/>
      <c r="M1228" s="238"/>
      <c r="N1228" s="238"/>
      <c r="O1228" s="238"/>
      <c r="P1228" s="238">
        <f>P1229</f>
        <v>192234.77</v>
      </c>
      <c r="Q1228" s="238">
        <f t="shared" si="1195"/>
        <v>0</v>
      </c>
      <c r="R1228" s="238">
        <f t="shared" si="1195"/>
        <v>0</v>
      </c>
      <c r="S1228" s="238">
        <f t="shared" si="1195"/>
        <v>42197.88</v>
      </c>
      <c r="T1228" s="238">
        <f t="shared" si="1195"/>
        <v>0</v>
      </c>
      <c r="U1228" s="238">
        <f t="shared" si="1195"/>
        <v>0</v>
      </c>
      <c r="V1228" s="238">
        <f t="shared" si="1189"/>
        <v>234432.65</v>
      </c>
      <c r="W1228" s="238">
        <f t="shared" si="1189"/>
        <v>0</v>
      </c>
      <c r="X1228" s="238">
        <f t="shared" si="1189"/>
        <v>0</v>
      </c>
    </row>
    <row r="1229" spans="1:24" s="229" customFormat="1" ht="25.5" hidden="1">
      <c r="A1229" s="241" t="s">
        <v>296</v>
      </c>
      <c r="B1229" s="247" t="s">
        <v>402</v>
      </c>
      <c r="C1229" s="247" t="s">
        <v>20</v>
      </c>
      <c r="D1229" s="247" t="s">
        <v>49</v>
      </c>
      <c r="E1229" s="227" t="s">
        <v>19</v>
      </c>
      <c r="F1229" s="227" t="s">
        <v>127</v>
      </c>
      <c r="G1229" s="227" t="s">
        <v>148</v>
      </c>
      <c r="H1229" s="247" t="s">
        <v>149</v>
      </c>
      <c r="I1229" s="248"/>
      <c r="J1229" s="238"/>
      <c r="K1229" s="238"/>
      <c r="L1229" s="238"/>
      <c r="M1229" s="238"/>
      <c r="N1229" s="238"/>
      <c r="O1229" s="238"/>
      <c r="P1229" s="238">
        <f>P1230</f>
        <v>192234.77</v>
      </c>
      <c r="Q1229" s="238">
        <f t="shared" si="1195"/>
        <v>0</v>
      </c>
      <c r="R1229" s="238">
        <f t="shared" si="1195"/>
        <v>0</v>
      </c>
      <c r="S1229" s="238">
        <f t="shared" si="1195"/>
        <v>42197.88</v>
      </c>
      <c r="T1229" s="238">
        <f t="shared" si="1195"/>
        <v>0</v>
      </c>
      <c r="U1229" s="238">
        <f t="shared" si="1195"/>
        <v>0</v>
      </c>
      <c r="V1229" s="238">
        <f t="shared" si="1189"/>
        <v>234432.65</v>
      </c>
      <c r="W1229" s="238">
        <f t="shared" si="1189"/>
        <v>0</v>
      </c>
      <c r="X1229" s="238">
        <f t="shared" si="1189"/>
        <v>0</v>
      </c>
    </row>
    <row r="1230" spans="1:24" s="229" customFormat="1" ht="51" hidden="1">
      <c r="A1230" s="241" t="s">
        <v>299</v>
      </c>
      <c r="B1230" s="247" t="s">
        <v>402</v>
      </c>
      <c r="C1230" s="247" t="s">
        <v>20</v>
      </c>
      <c r="D1230" s="247" t="s">
        <v>49</v>
      </c>
      <c r="E1230" s="227" t="s">
        <v>19</v>
      </c>
      <c r="F1230" s="227" t="s">
        <v>127</v>
      </c>
      <c r="G1230" s="227" t="s">
        <v>148</v>
      </c>
      <c r="H1230" s="247" t="s">
        <v>298</v>
      </c>
      <c r="I1230" s="248"/>
      <c r="J1230" s="238"/>
      <c r="K1230" s="238"/>
      <c r="L1230" s="238"/>
      <c r="M1230" s="238"/>
      <c r="N1230" s="238"/>
      <c r="O1230" s="238"/>
      <c r="P1230" s="238">
        <f>P1231</f>
        <v>192234.77</v>
      </c>
      <c r="Q1230" s="238">
        <f t="shared" si="1195"/>
        <v>0</v>
      </c>
      <c r="R1230" s="238">
        <f t="shared" si="1195"/>
        <v>0</v>
      </c>
      <c r="S1230" s="238">
        <f t="shared" si="1195"/>
        <v>42197.88</v>
      </c>
      <c r="T1230" s="238">
        <f t="shared" si="1195"/>
        <v>0</v>
      </c>
      <c r="U1230" s="238">
        <f t="shared" si="1195"/>
        <v>0</v>
      </c>
      <c r="V1230" s="238">
        <f t="shared" si="1189"/>
        <v>234432.65</v>
      </c>
      <c r="W1230" s="238">
        <f t="shared" si="1189"/>
        <v>0</v>
      </c>
      <c r="X1230" s="238">
        <f t="shared" si="1189"/>
        <v>0</v>
      </c>
    </row>
    <row r="1231" spans="1:24" s="229" customFormat="1" hidden="1">
      <c r="A1231" s="235" t="s">
        <v>100</v>
      </c>
      <c r="B1231" s="247" t="s">
        <v>402</v>
      </c>
      <c r="C1231" s="247" t="s">
        <v>20</v>
      </c>
      <c r="D1231" s="247" t="s">
        <v>49</v>
      </c>
      <c r="E1231" s="227" t="s">
        <v>19</v>
      </c>
      <c r="F1231" s="227" t="s">
        <v>127</v>
      </c>
      <c r="G1231" s="227" t="s">
        <v>148</v>
      </c>
      <c r="H1231" s="247" t="s">
        <v>298</v>
      </c>
      <c r="I1231" s="248" t="s">
        <v>99</v>
      </c>
      <c r="J1231" s="238"/>
      <c r="K1231" s="238"/>
      <c r="L1231" s="238"/>
      <c r="M1231" s="238"/>
      <c r="N1231" s="238"/>
      <c r="O1231" s="238"/>
      <c r="P1231" s="238">
        <f>P1232</f>
        <v>192234.77</v>
      </c>
      <c r="Q1231" s="238">
        <f t="shared" si="1195"/>
        <v>0</v>
      </c>
      <c r="R1231" s="238">
        <f t="shared" si="1195"/>
        <v>0</v>
      </c>
      <c r="S1231" s="238">
        <f t="shared" si="1195"/>
        <v>42197.88</v>
      </c>
      <c r="T1231" s="238">
        <f t="shared" si="1195"/>
        <v>0</v>
      </c>
      <c r="U1231" s="238">
        <f t="shared" si="1195"/>
        <v>0</v>
      </c>
      <c r="V1231" s="238">
        <f t="shared" si="1189"/>
        <v>234432.65</v>
      </c>
      <c r="W1231" s="238">
        <f t="shared" si="1189"/>
        <v>0</v>
      </c>
      <c r="X1231" s="238">
        <f t="shared" si="1189"/>
        <v>0</v>
      </c>
    </row>
    <row r="1232" spans="1:24" s="229" customFormat="1" ht="25.5" hidden="1">
      <c r="A1232" s="235" t="s">
        <v>106</v>
      </c>
      <c r="B1232" s="247" t="s">
        <v>402</v>
      </c>
      <c r="C1232" s="247" t="s">
        <v>20</v>
      </c>
      <c r="D1232" s="247" t="s">
        <v>49</v>
      </c>
      <c r="E1232" s="227" t="s">
        <v>19</v>
      </c>
      <c r="F1232" s="227" t="s">
        <v>127</v>
      </c>
      <c r="G1232" s="227" t="s">
        <v>148</v>
      </c>
      <c r="H1232" s="247" t="s">
        <v>298</v>
      </c>
      <c r="I1232" s="248" t="s">
        <v>107</v>
      </c>
      <c r="J1232" s="238"/>
      <c r="K1232" s="238"/>
      <c r="L1232" s="238"/>
      <c r="M1232" s="238"/>
      <c r="N1232" s="238"/>
      <c r="O1232" s="238"/>
      <c r="P1232" s="238">
        <v>192234.77</v>
      </c>
      <c r="Q1232" s="238">
        <f t="shared" ref="Q1232:R1232" si="1196">K1232+N1232</f>
        <v>0</v>
      </c>
      <c r="R1232" s="238">
        <f t="shared" si="1196"/>
        <v>0</v>
      </c>
      <c r="S1232" s="238">
        <v>42197.88</v>
      </c>
      <c r="T1232" s="238"/>
      <c r="U1232" s="238"/>
      <c r="V1232" s="238">
        <f t="shared" si="1189"/>
        <v>234432.65</v>
      </c>
      <c r="W1232" s="238">
        <f t="shared" si="1189"/>
        <v>0</v>
      </c>
      <c r="X1232" s="238">
        <f t="shared" si="1189"/>
        <v>0</v>
      </c>
    </row>
    <row r="1233" spans="1:24" s="229" customFormat="1" ht="15.75" hidden="1">
      <c r="A1233" s="249" t="s">
        <v>54</v>
      </c>
      <c r="B1233" s="226" t="s">
        <v>402</v>
      </c>
      <c r="C1233" s="226" t="s">
        <v>17</v>
      </c>
      <c r="D1233" s="227"/>
      <c r="E1233" s="227"/>
      <c r="F1233" s="227"/>
      <c r="G1233" s="227"/>
      <c r="H1233" s="227"/>
      <c r="I1233" s="237"/>
      <c r="J1233" s="228"/>
      <c r="K1233" s="228"/>
      <c r="L1233" s="228"/>
      <c r="M1233" s="228"/>
      <c r="N1233" s="228"/>
      <c r="O1233" s="228"/>
      <c r="P1233" s="228">
        <f>P1234</f>
        <v>63322.720000000001</v>
      </c>
      <c r="Q1233" s="228">
        <f t="shared" ref="Q1233:U1235" si="1197">Q1234</f>
        <v>0</v>
      </c>
      <c r="R1233" s="228">
        <f t="shared" si="1197"/>
        <v>0</v>
      </c>
      <c r="S1233" s="228">
        <f t="shared" si="1197"/>
        <v>0</v>
      </c>
      <c r="T1233" s="228">
        <f t="shared" si="1197"/>
        <v>0</v>
      </c>
      <c r="U1233" s="228">
        <f t="shared" si="1197"/>
        <v>0</v>
      </c>
      <c r="V1233" s="228">
        <f t="shared" ref="V1233:X1248" si="1198">P1233+S1233</f>
        <v>63322.720000000001</v>
      </c>
      <c r="W1233" s="228">
        <f t="shared" si="1198"/>
        <v>0</v>
      </c>
      <c r="X1233" s="228">
        <f t="shared" si="1198"/>
        <v>0</v>
      </c>
    </row>
    <row r="1234" spans="1:24" s="229" customFormat="1" hidden="1">
      <c r="A1234" s="250" t="s">
        <v>55</v>
      </c>
      <c r="B1234" s="232" t="s">
        <v>402</v>
      </c>
      <c r="C1234" s="232" t="s">
        <v>17</v>
      </c>
      <c r="D1234" s="232" t="s">
        <v>13</v>
      </c>
      <c r="E1234" s="232"/>
      <c r="F1234" s="232"/>
      <c r="G1234" s="232"/>
      <c r="H1234" s="232"/>
      <c r="I1234" s="233"/>
      <c r="J1234" s="234"/>
      <c r="K1234" s="234"/>
      <c r="L1234" s="234"/>
      <c r="M1234" s="234"/>
      <c r="N1234" s="234"/>
      <c r="O1234" s="234"/>
      <c r="P1234" s="234">
        <f>P1235</f>
        <v>63322.720000000001</v>
      </c>
      <c r="Q1234" s="234">
        <f t="shared" si="1197"/>
        <v>0</v>
      </c>
      <c r="R1234" s="234">
        <f t="shared" si="1197"/>
        <v>0</v>
      </c>
      <c r="S1234" s="234">
        <f t="shared" si="1197"/>
        <v>0</v>
      </c>
      <c r="T1234" s="234">
        <f t="shared" si="1197"/>
        <v>0</v>
      </c>
      <c r="U1234" s="234">
        <f t="shared" si="1197"/>
        <v>0</v>
      </c>
      <c r="V1234" s="234">
        <f t="shared" si="1198"/>
        <v>63322.720000000001</v>
      </c>
      <c r="W1234" s="234">
        <f t="shared" si="1198"/>
        <v>0</v>
      </c>
      <c r="X1234" s="234">
        <f t="shared" si="1198"/>
        <v>0</v>
      </c>
    </row>
    <row r="1235" spans="1:24" s="229" customFormat="1" hidden="1">
      <c r="A1235" s="235" t="s">
        <v>83</v>
      </c>
      <c r="B1235" s="247" t="s">
        <v>402</v>
      </c>
      <c r="C1235" s="227" t="s">
        <v>17</v>
      </c>
      <c r="D1235" s="227" t="s">
        <v>13</v>
      </c>
      <c r="E1235" s="227" t="s">
        <v>82</v>
      </c>
      <c r="F1235" s="227" t="s">
        <v>70</v>
      </c>
      <c r="G1235" s="227" t="s">
        <v>148</v>
      </c>
      <c r="H1235" s="227" t="s">
        <v>149</v>
      </c>
      <c r="I1235" s="237"/>
      <c r="J1235" s="244"/>
      <c r="K1235" s="244"/>
      <c r="L1235" s="244"/>
      <c r="M1235" s="244"/>
      <c r="N1235" s="244"/>
      <c r="O1235" s="244"/>
      <c r="P1235" s="244">
        <f>P1236</f>
        <v>63322.720000000001</v>
      </c>
      <c r="Q1235" s="244">
        <f t="shared" si="1197"/>
        <v>0</v>
      </c>
      <c r="R1235" s="244">
        <f t="shared" si="1197"/>
        <v>0</v>
      </c>
      <c r="S1235" s="244">
        <f t="shared" si="1197"/>
        <v>0</v>
      </c>
      <c r="T1235" s="244">
        <f t="shared" si="1197"/>
        <v>0</v>
      </c>
      <c r="U1235" s="244">
        <f t="shared" si="1197"/>
        <v>0</v>
      </c>
      <c r="V1235" s="244">
        <f t="shared" si="1198"/>
        <v>63322.720000000001</v>
      </c>
      <c r="W1235" s="244">
        <f t="shared" si="1198"/>
        <v>0</v>
      </c>
      <c r="X1235" s="244">
        <f t="shared" si="1198"/>
        <v>0</v>
      </c>
    </row>
    <row r="1236" spans="1:24" s="229" customFormat="1" ht="25.5" hidden="1">
      <c r="A1236" s="235" t="s">
        <v>304</v>
      </c>
      <c r="B1236" s="247" t="s">
        <v>402</v>
      </c>
      <c r="C1236" s="227" t="s">
        <v>17</v>
      </c>
      <c r="D1236" s="227" t="s">
        <v>13</v>
      </c>
      <c r="E1236" s="227" t="s">
        <v>82</v>
      </c>
      <c r="F1236" s="227" t="s">
        <v>70</v>
      </c>
      <c r="G1236" s="227" t="s">
        <v>148</v>
      </c>
      <c r="H1236" s="227" t="s">
        <v>305</v>
      </c>
      <c r="I1236" s="237"/>
      <c r="J1236" s="244"/>
      <c r="K1236" s="244"/>
      <c r="L1236" s="244"/>
      <c r="M1236" s="244"/>
      <c r="N1236" s="244"/>
      <c r="O1236" s="244"/>
      <c r="P1236" s="244">
        <f>P1237+P1239</f>
        <v>63322.720000000001</v>
      </c>
      <c r="Q1236" s="244">
        <f t="shared" ref="Q1236:U1236" si="1199">Q1237+Q1239</f>
        <v>0</v>
      </c>
      <c r="R1236" s="244">
        <f t="shared" si="1199"/>
        <v>0</v>
      </c>
      <c r="S1236" s="244">
        <f t="shared" si="1199"/>
        <v>0</v>
      </c>
      <c r="T1236" s="244">
        <f t="shared" si="1199"/>
        <v>0</v>
      </c>
      <c r="U1236" s="244">
        <f t="shared" si="1199"/>
        <v>0</v>
      </c>
      <c r="V1236" s="244">
        <f t="shared" si="1198"/>
        <v>63322.720000000001</v>
      </c>
      <c r="W1236" s="244">
        <f t="shared" si="1198"/>
        <v>0</v>
      </c>
      <c r="X1236" s="244">
        <f t="shared" si="1198"/>
        <v>0</v>
      </c>
    </row>
    <row r="1237" spans="1:24" s="229" customFormat="1" ht="38.25" hidden="1">
      <c r="A1237" s="239" t="s">
        <v>96</v>
      </c>
      <c r="B1237" s="247" t="s">
        <v>402</v>
      </c>
      <c r="C1237" s="227" t="s">
        <v>17</v>
      </c>
      <c r="D1237" s="227" t="s">
        <v>13</v>
      </c>
      <c r="E1237" s="227" t="s">
        <v>82</v>
      </c>
      <c r="F1237" s="227" t="s">
        <v>70</v>
      </c>
      <c r="G1237" s="227" t="s">
        <v>148</v>
      </c>
      <c r="H1237" s="227" t="s">
        <v>305</v>
      </c>
      <c r="I1237" s="237" t="s">
        <v>92</v>
      </c>
      <c r="J1237" s="244"/>
      <c r="K1237" s="244"/>
      <c r="L1237" s="244"/>
      <c r="M1237" s="244"/>
      <c r="N1237" s="244"/>
      <c r="O1237" s="244"/>
      <c r="P1237" s="244">
        <f>P1238</f>
        <v>31248</v>
      </c>
      <c r="Q1237" s="244">
        <f t="shared" ref="Q1237:U1237" si="1200">Q1238</f>
        <v>0</v>
      </c>
      <c r="R1237" s="244">
        <f t="shared" si="1200"/>
        <v>0</v>
      </c>
      <c r="S1237" s="244">
        <f t="shared" si="1200"/>
        <v>0</v>
      </c>
      <c r="T1237" s="244">
        <f t="shared" si="1200"/>
        <v>0</v>
      </c>
      <c r="U1237" s="244">
        <f t="shared" si="1200"/>
        <v>0</v>
      </c>
      <c r="V1237" s="244">
        <f t="shared" si="1198"/>
        <v>31248</v>
      </c>
      <c r="W1237" s="244">
        <f t="shared" si="1198"/>
        <v>0</v>
      </c>
      <c r="X1237" s="244">
        <f t="shared" si="1198"/>
        <v>0</v>
      </c>
    </row>
    <row r="1238" spans="1:24" s="229" customFormat="1" hidden="1">
      <c r="A1238" s="239" t="s">
        <v>103</v>
      </c>
      <c r="B1238" s="247" t="s">
        <v>402</v>
      </c>
      <c r="C1238" s="227" t="s">
        <v>17</v>
      </c>
      <c r="D1238" s="227" t="s">
        <v>13</v>
      </c>
      <c r="E1238" s="227" t="s">
        <v>82</v>
      </c>
      <c r="F1238" s="227" t="s">
        <v>70</v>
      </c>
      <c r="G1238" s="227" t="s">
        <v>148</v>
      </c>
      <c r="H1238" s="227" t="s">
        <v>305</v>
      </c>
      <c r="I1238" s="237" t="s">
        <v>102</v>
      </c>
      <c r="J1238" s="244"/>
      <c r="K1238" s="244"/>
      <c r="L1238" s="244"/>
      <c r="M1238" s="244"/>
      <c r="N1238" s="244"/>
      <c r="O1238" s="244"/>
      <c r="P1238" s="244">
        <f>24000+7248</f>
        <v>31248</v>
      </c>
      <c r="Q1238" s="244"/>
      <c r="R1238" s="244"/>
      <c r="S1238" s="244"/>
      <c r="T1238" s="244"/>
      <c r="U1238" s="244"/>
      <c r="V1238" s="244">
        <f t="shared" si="1198"/>
        <v>31248</v>
      </c>
      <c r="W1238" s="244">
        <f t="shared" si="1198"/>
        <v>0</v>
      </c>
      <c r="X1238" s="244">
        <f t="shared" si="1198"/>
        <v>0</v>
      </c>
    </row>
    <row r="1239" spans="1:24" s="229" customFormat="1" ht="25.5" hidden="1">
      <c r="A1239" s="240" t="s">
        <v>260</v>
      </c>
      <c r="B1239" s="247" t="s">
        <v>402</v>
      </c>
      <c r="C1239" s="227" t="s">
        <v>17</v>
      </c>
      <c r="D1239" s="227" t="s">
        <v>13</v>
      </c>
      <c r="E1239" s="227" t="s">
        <v>82</v>
      </c>
      <c r="F1239" s="227" t="s">
        <v>70</v>
      </c>
      <c r="G1239" s="227" t="s">
        <v>148</v>
      </c>
      <c r="H1239" s="227" t="s">
        <v>305</v>
      </c>
      <c r="I1239" s="237" t="s">
        <v>94</v>
      </c>
      <c r="J1239" s="244"/>
      <c r="K1239" s="244"/>
      <c r="L1239" s="244"/>
      <c r="M1239" s="244"/>
      <c r="N1239" s="244"/>
      <c r="O1239" s="244"/>
      <c r="P1239" s="244">
        <f>P1240</f>
        <v>32074.720000000001</v>
      </c>
      <c r="Q1239" s="244">
        <f t="shared" ref="Q1239:U1239" si="1201">Q1240</f>
        <v>0</v>
      </c>
      <c r="R1239" s="244">
        <f t="shared" si="1201"/>
        <v>0</v>
      </c>
      <c r="S1239" s="244">
        <f t="shared" si="1201"/>
        <v>0</v>
      </c>
      <c r="T1239" s="244">
        <f t="shared" si="1201"/>
        <v>0</v>
      </c>
      <c r="U1239" s="244">
        <f t="shared" si="1201"/>
        <v>0</v>
      </c>
      <c r="V1239" s="244">
        <f t="shared" si="1198"/>
        <v>32074.720000000001</v>
      </c>
      <c r="W1239" s="244">
        <f t="shared" si="1198"/>
        <v>0</v>
      </c>
      <c r="X1239" s="244">
        <f t="shared" si="1198"/>
        <v>0</v>
      </c>
    </row>
    <row r="1240" spans="1:24" s="229" customFormat="1" ht="25.5" hidden="1">
      <c r="A1240" s="239" t="s">
        <v>98</v>
      </c>
      <c r="B1240" s="247" t="s">
        <v>402</v>
      </c>
      <c r="C1240" s="227" t="s">
        <v>17</v>
      </c>
      <c r="D1240" s="227" t="s">
        <v>13</v>
      </c>
      <c r="E1240" s="227" t="s">
        <v>82</v>
      </c>
      <c r="F1240" s="227" t="s">
        <v>70</v>
      </c>
      <c r="G1240" s="227" t="s">
        <v>148</v>
      </c>
      <c r="H1240" s="227" t="s">
        <v>305</v>
      </c>
      <c r="I1240" s="237" t="s">
        <v>95</v>
      </c>
      <c r="J1240" s="244"/>
      <c r="K1240" s="244"/>
      <c r="L1240" s="244"/>
      <c r="M1240" s="244"/>
      <c r="N1240" s="244"/>
      <c r="O1240" s="244"/>
      <c r="P1240" s="244">
        <v>32074.720000000001</v>
      </c>
      <c r="Q1240" s="244"/>
      <c r="R1240" s="244"/>
      <c r="S1240" s="244"/>
      <c r="T1240" s="244"/>
      <c r="U1240" s="244"/>
      <c r="V1240" s="244">
        <f t="shared" si="1198"/>
        <v>32074.720000000001</v>
      </c>
      <c r="W1240" s="244">
        <f t="shared" si="1198"/>
        <v>0</v>
      </c>
      <c r="X1240" s="244">
        <f t="shared" si="1198"/>
        <v>0</v>
      </c>
    </row>
    <row r="1241" spans="1:24" s="255" customFormat="1" ht="31.5" hidden="1">
      <c r="A1241" s="249" t="s">
        <v>26</v>
      </c>
      <c r="B1241" s="251" t="s">
        <v>402</v>
      </c>
      <c r="C1241" s="251" t="s">
        <v>13</v>
      </c>
      <c r="D1241" s="252"/>
      <c r="E1241" s="252"/>
      <c r="F1241" s="252"/>
      <c r="G1241" s="252"/>
      <c r="H1241" s="252"/>
      <c r="I1241" s="253"/>
      <c r="J1241" s="254"/>
      <c r="K1241" s="254"/>
      <c r="L1241" s="254"/>
      <c r="M1241" s="254"/>
      <c r="N1241" s="254"/>
      <c r="O1241" s="254"/>
      <c r="P1241" s="254">
        <f>P1242</f>
        <v>73000</v>
      </c>
      <c r="Q1241" s="254">
        <f t="shared" ref="Q1241:U1245" si="1202">Q1242</f>
        <v>0</v>
      </c>
      <c r="R1241" s="254">
        <f t="shared" si="1202"/>
        <v>0</v>
      </c>
      <c r="S1241" s="254">
        <f t="shared" si="1202"/>
        <v>0</v>
      </c>
      <c r="T1241" s="254">
        <f t="shared" si="1202"/>
        <v>0</v>
      </c>
      <c r="U1241" s="254">
        <f t="shared" si="1202"/>
        <v>0</v>
      </c>
      <c r="V1241" s="254">
        <f t="shared" si="1198"/>
        <v>73000</v>
      </c>
      <c r="W1241" s="254">
        <f t="shared" si="1198"/>
        <v>0</v>
      </c>
      <c r="X1241" s="254">
        <f t="shared" si="1198"/>
        <v>0</v>
      </c>
    </row>
    <row r="1242" spans="1:24" s="229" customFormat="1" ht="38.25" hidden="1">
      <c r="A1242" s="256" t="s">
        <v>230</v>
      </c>
      <c r="B1242" s="257" t="s">
        <v>402</v>
      </c>
      <c r="C1242" s="257" t="s">
        <v>13</v>
      </c>
      <c r="D1242" s="257" t="s">
        <v>30</v>
      </c>
      <c r="E1242" s="257"/>
      <c r="F1242" s="257"/>
      <c r="G1242" s="257"/>
      <c r="H1242" s="257"/>
      <c r="I1242" s="258"/>
      <c r="J1242" s="259"/>
      <c r="K1242" s="259"/>
      <c r="L1242" s="259"/>
      <c r="M1242" s="259"/>
      <c r="N1242" s="259"/>
      <c r="O1242" s="259"/>
      <c r="P1242" s="259">
        <f>P1243</f>
        <v>73000</v>
      </c>
      <c r="Q1242" s="259">
        <f t="shared" si="1202"/>
        <v>0</v>
      </c>
      <c r="R1242" s="259">
        <f t="shared" si="1202"/>
        <v>0</v>
      </c>
      <c r="S1242" s="259">
        <f t="shared" si="1202"/>
        <v>0</v>
      </c>
      <c r="T1242" s="259">
        <f t="shared" si="1202"/>
        <v>0</v>
      </c>
      <c r="U1242" s="259">
        <f t="shared" si="1202"/>
        <v>0</v>
      </c>
      <c r="V1242" s="259">
        <f t="shared" si="1198"/>
        <v>73000</v>
      </c>
      <c r="W1242" s="259">
        <f t="shared" si="1198"/>
        <v>0</v>
      </c>
      <c r="X1242" s="259">
        <f t="shared" si="1198"/>
        <v>0</v>
      </c>
    </row>
    <row r="1243" spans="1:24" s="229" customFormat="1" hidden="1">
      <c r="A1243" s="260" t="s">
        <v>290</v>
      </c>
      <c r="B1243" s="261" t="s">
        <v>402</v>
      </c>
      <c r="C1243" s="261" t="s">
        <v>13</v>
      </c>
      <c r="D1243" s="261" t="s">
        <v>30</v>
      </c>
      <c r="E1243" s="261" t="s">
        <v>214</v>
      </c>
      <c r="F1243" s="261" t="s">
        <v>70</v>
      </c>
      <c r="G1243" s="261" t="s">
        <v>148</v>
      </c>
      <c r="H1243" s="261" t="s">
        <v>149</v>
      </c>
      <c r="I1243" s="262"/>
      <c r="J1243" s="263"/>
      <c r="K1243" s="263"/>
      <c r="L1243" s="263"/>
      <c r="M1243" s="263"/>
      <c r="N1243" s="263"/>
      <c r="O1243" s="263"/>
      <c r="P1243" s="263">
        <f>P1244</f>
        <v>73000</v>
      </c>
      <c r="Q1243" s="263">
        <f t="shared" si="1202"/>
        <v>0</v>
      </c>
      <c r="R1243" s="263">
        <f t="shared" si="1202"/>
        <v>0</v>
      </c>
      <c r="S1243" s="263">
        <f t="shared" si="1202"/>
        <v>0</v>
      </c>
      <c r="T1243" s="263">
        <f t="shared" si="1202"/>
        <v>0</v>
      </c>
      <c r="U1243" s="263">
        <f t="shared" si="1202"/>
        <v>0</v>
      </c>
      <c r="V1243" s="263">
        <f t="shared" si="1198"/>
        <v>73000</v>
      </c>
      <c r="W1243" s="263">
        <f t="shared" si="1198"/>
        <v>0</v>
      </c>
      <c r="X1243" s="263">
        <f t="shared" si="1198"/>
        <v>0</v>
      </c>
    </row>
    <row r="1244" spans="1:24" s="229" customFormat="1" hidden="1">
      <c r="A1244" s="241" t="s">
        <v>336</v>
      </c>
      <c r="B1244" s="261" t="s">
        <v>402</v>
      </c>
      <c r="C1244" s="261" t="s">
        <v>13</v>
      </c>
      <c r="D1244" s="261" t="s">
        <v>30</v>
      </c>
      <c r="E1244" s="261" t="s">
        <v>214</v>
      </c>
      <c r="F1244" s="261" t="s">
        <v>70</v>
      </c>
      <c r="G1244" s="261" t="s">
        <v>148</v>
      </c>
      <c r="H1244" s="261" t="s">
        <v>335</v>
      </c>
      <c r="I1244" s="262"/>
      <c r="J1244" s="263"/>
      <c r="K1244" s="263"/>
      <c r="L1244" s="263"/>
      <c r="M1244" s="263"/>
      <c r="N1244" s="263"/>
      <c r="O1244" s="263"/>
      <c r="P1244" s="263">
        <f>P1245</f>
        <v>73000</v>
      </c>
      <c r="Q1244" s="263">
        <f t="shared" si="1202"/>
        <v>0</v>
      </c>
      <c r="R1244" s="263">
        <f t="shared" si="1202"/>
        <v>0</v>
      </c>
      <c r="S1244" s="263">
        <f t="shared" si="1202"/>
        <v>0</v>
      </c>
      <c r="T1244" s="263">
        <f t="shared" si="1202"/>
        <v>0</v>
      </c>
      <c r="U1244" s="263">
        <f t="shared" si="1202"/>
        <v>0</v>
      </c>
      <c r="V1244" s="263">
        <f t="shared" si="1198"/>
        <v>73000</v>
      </c>
      <c r="W1244" s="263">
        <f t="shared" si="1198"/>
        <v>0</v>
      </c>
      <c r="X1244" s="263">
        <f t="shared" si="1198"/>
        <v>0</v>
      </c>
    </row>
    <row r="1245" spans="1:24" s="229" customFormat="1" ht="25.5" hidden="1">
      <c r="A1245" s="240" t="s">
        <v>260</v>
      </c>
      <c r="B1245" s="261" t="s">
        <v>402</v>
      </c>
      <c r="C1245" s="261" t="s">
        <v>13</v>
      </c>
      <c r="D1245" s="261" t="s">
        <v>30</v>
      </c>
      <c r="E1245" s="261" t="s">
        <v>214</v>
      </c>
      <c r="F1245" s="261" t="s">
        <v>70</v>
      </c>
      <c r="G1245" s="261" t="s">
        <v>148</v>
      </c>
      <c r="H1245" s="261" t="s">
        <v>335</v>
      </c>
      <c r="I1245" s="262" t="s">
        <v>94</v>
      </c>
      <c r="J1245" s="263"/>
      <c r="K1245" s="263"/>
      <c r="L1245" s="263"/>
      <c r="M1245" s="263"/>
      <c r="N1245" s="263"/>
      <c r="O1245" s="263"/>
      <c r="P1245" s="263">
        <f>P1246</f>
        <v>73000</v>
      </c>
      <c r="Q1245" s="263">
        <f t="shared" si="1202"/>
        <v>0</v>
      </c>
      <c r="R1245" s="263">
        <f t="shared" si="1202"/>
        <v>0</v>
      </c>
      <c r="S1245" s="263">
        <f t="shared" si="1202"/>
        <v>0</v>
      </c>
      <c r="T1245" s="263">
        <f t="shared" si="1202"/>
        <v>0</v>
      </c>
      <c r="U1245" s="263">
        <f t="shared" si="1202"/>
        <v>0</v>
      </c>
      <c r="V1245" s="263">
        <f t="shared" si="1198"/>
        <v>73000</v>
      </c>
      <c r="W1245" s="263">
        <f t="shared" si="1198"/>
        <v>0</v>
      </c>
      <c r="X1245" s="263">
        <f t="shared" si="1198"/>
        <v>0</v>
      </c>
    </row>
    <row r="1246" spans="1:24" s="229" customFormat="1" ht="25.5" hidden="1">
      <c r="A1246" s="239" t="s">
        <v>98</v>
      </c>
      <c r="B1246" s="261" t="s">
        <v>402</v>
      </c>
      <c r="C1246" s="261" t="s">
        <v>13</v>
      </c>
      <c r="D1246" s="261" t="s">
        <v>30</v>
      </c>
      <c r="E1246" s="261" t="s">
        <v>214</v>
      </c>
      <c r="F1246" s="261" t="s">
        <v>70</v>
      </c>
      <c r="G1246" s="261" t="s">
        <v>148</v>
      </c>
      <c r="H1246" s="261" t="s">
        <v>335</v>
      </c>
      <c r="I1246" s="262" t="s">
        <v>95</v>
      </c>
      <c r="J1246" s="263"/>
      <c r="K1246" s="263"/>
      <c r="L1246" s="263"/>
      <c r="M1246" s="263"/>
      <c r="N1246" s="263"/>
      <c r="O1246" s="263"/>
      <c r="P1246" s="263">
        <v>73000</v>
      </c>
      <c r="Q1246" s="263"/>
      <c r="R1246" s="263"/>
      <c r="S1246" s="263"/>
      <c r="T1246" s="263"/>
      <c r="U1246" s="263"/>
      <c r="V1246" s="263">
        <f t="shared" si="1198"/>
        <v>73000</v>
      </c>
      <c r="W1246" s="263">
        <f t="shared" si="1198"/>
        <v>0</v>
      </c>
      <c r="X1246" s="263">
        <f t="shared" si="1198"/>
        <v>0</v>
      </c>
    </row>
    <row r="1247" spans="1:24" s="229" customFormat="1" ht="15.75" hidden="1">
      <c r="A1247" s="225" t="s">
        <v>15</v>
      </c>
      <c r="B1247" s="266" t="s">
        <v>402</v>
      </c>
      <c r="C1247" s="266" t="s">
        <v>16</v>
      </c>
      <c r="D1247" s="247"/>
      <c r="E1247" s="247"/>
      <c r="F1247" s="247"/>
      <c r="G1247" s="247"/>
      <c r="H1247" s="247"/>
      <c r="I1247" s="248"/>
      <c r="J1247" s="228"/>
      <c r="K1247" s="228"/>
      <c r="L1247" s="228"/>
      <c r="M1247" s="228"/>
      <c r="N1247" s="228"/>
      <c r="O1247" s="228"/>
      <c r="P1247" s="228">
        <f t="shared" ref="P1247:U1247" si="1203">P1248+P1253</f>
        <v>7107000</v>
      </c>
      <c r="Q1247" s="228">
        <f t="shared" si="1203"/>
        <v>0</v>
      </c>
      <c r="R1247" s="228">
        <f t="shared" si="1203"/>
        <v>0</v>
      </c>
      <c r="S1247" s="228">
        <f t="shared" si="1203"/>
        <v>0</v>
      </c>
      <c r="T1247" s="228">
        <f t="shared" si="1203"/>
        <v>0</v>
      </c>
      <c r="U1247" s="228">
        <f t="shared" si="1203"/>
        <v>0</v>
      </c>
      <c r="V1247" s="228">
        <f t="shared" si="1198"/>
        <v>7107000</v>
      </c>
      <c r="W1247" s="228">
        <f t="shared" si="1198"/>
        <v>0</v>
      </c>
      <c r="X1247" s="228">
        <f t="shared" si="1198"/>
        <v>0</v>
      </c>
    </row>
    <row r="1248" spans="1:24" s="229" customFormat="1" hidden="1">
      <c r="A1248" s="230" t="s">
        <v>23</v>
      </c>
      <c r="B1248" s="232" t="s">
        <v>402</v>
      </c>
      <c r="C1248" s="232" t="s">
        <v>16</v>
      </c>
      <c r="D1248" s="232" t="s">
        <v>27</v>
      </c>
      <c r="E1248" s="232"/>
      <c r="F1248" s="232"/>
      <c r="G1248" s="232"/>
      <c r="H1248" s="269"/>
      <c r="I1248" s="233"/>
      <c r="J1248" s="234"/>
      <c r="K1248" s="234"/>
      <c r="L1248" s="234"/>
      <c r="M1248" s="234"/>
      <c r="N1248" s="234"/>
      <c r="O1248" s="234"/>
      <c r="P1248" s="234">
        <f>P1249</f>
        <v>6507000</v>
      </c>
      <c r="Q1248" s="234">
        <f t="shared" ref="Q1248:U1251" si="1204">Q1249</f>
        <v>0</v>
      </c>
      <c r="R1248" s="234">
        <f t="shared" si="1204"/>
        <v>0</v>
      </c>
      <c r="S1248" s="234">
        <f t="shared" si="1204"/>
        <v>0</v>
      </c>
      <c r="T1248" s="234">
        <f t="shared" si="1204"/>
        <v>0</v>
      </c>
      <c r="U1248" s="234">
        <f t="shared" si="1204"/>
        <v>0</v>
      </c>
      <c r="V1248" s="234">
        <f t="shared" si="1198"/>
        <v>6507000</v>
      </c>
      <c r="W1248" s="234">
        <f t="shared" si="1198"/>
        <v>0</v>
      </c>
      <c r="X1248" s="234">
        <f t="shared" si="1198"/>
        <v>0</v>
      </c>
    </row>
    <row r="1249" spans="1:24" s="229" customFormat="1" ht="38.25" hidden="1">
      <c r="A1249" s="235" t="s">
        <v>396</v>
      </c>
      <c r="B1249" s="227" t="s">
        <v>402</v>
      </c>
      <c r="C1249" s="227" t="s">
        <v>16</v>
      </c>
      <c r="D1249" s="227" t="s">
        <v>27</v>
      </c>
      <c r="E1249" s="227" t="s">
        <v>18</v>
      </c>
      <c r="F1249" s="227" t="s">
        <v>70</v>
      </c>
      <c r="G1249" s="227" t="s">
        <v>148</v>
      </c>
      <c r="H1249" s="267" t="s">
        <v>149</v>
      </c>
      <c r="I1249" s="237"/>
      <c r="J1249" s="238"/>
      <c r="K1249" s="238"/>
      <c r="L1249" s="238"/>
      <c r="M1249" s="238"/>
      <c r="N1249" s="238"/>
      <c r="O1249" s="238"/>
      <c r="P1249" s="238">
        <f>P1250</f>
        <v>6507000</v>
      </c>
      <c r="Q1249" s="238">
        <f t="shared" si="1204"/>
        <v>0</v>
      </c>
      <c r="R1249" s="238">
        <f t="shared" si="1204"/>
        <v>0</v>
      </c>
      <c r="S1249" s="238">
        <f t="shared" si="1204"/>
        <v>0</v>
      </c>
      <c r="T1249" s="238">
        <f t="shared" si="1204"/>
        <v>0</v>
      </c>
      <c r="U1249" s="238">
        <f t="shared" si="1204"/>
        <v>0</v>
      </c>
      <c r="V1249" s="238">
        <f t="shared" ref="V1249:X1264" si="1205">P1249+S1249</f>
        <v>6507000</v>
      </c>
      <c r="W1249" s="238">
        <f t="shared" si="1205"/>
        <v>0</v>
      </c>
      <c r="X1249" s="238">
        <f t="shared" si="1205"/>
        <v>0</v>
      </c>
    </row>
    <row r="1250" spans="1:24" s="229" customFormat="1" ht="25.5" hidden="1">
      <c r="A1250" s="268" t="s">
        <v>312</v>
      </c>
      <c r="B1250" s="227" t="s">
        <v>402</v>
      </c>
      <c r="C1250" s="227" t="s">
        <v>16</v>
      </c>
      <c r="D1250" s="227" t="s">
        <v>27</v>
      </c>
      <c r="E1250" s="227" t="s">
        <v>18</v>
      </c>
      <c r="F1250" s="227" t="s">
        <v>70</v>
      </c>
      <c r="G1250" s="227" t="s">
        <v>148</v>
      </c>
      <c r="H1250" s="267" t="s">
        <v>311</v>
      </c>
      <c r="I1250" s="272"/>
      <c r="J1250" s="238"/>
      <c r="K1250" s="238"/>
      <c r="L1250" s="238"/>
      <c r="M1250" s="238"/>
      <c r="N1250" s="238"/>
      <c r="O1250" s="238"/>
      <c r="P1250" s="238">
        <f>P1251</f>
        <v>6507000</v>
      </c>
      <c r="Q1250" s="238">
        <f t="shared" si="1204"/>
        <v>0</v>
      </c>
      <c r="R1250" s="238">
        <f t="shared" si="1204"/>
        <v>0</v>
      </c>
      <c r="S1250" s="238">
        <f t="shared" si="1204"/>
        <v>0</v>
      </c>
      <c r="T1250" s="238">
        <f t="shared" si="1204"/>
        <v>0</v>
      </c>
      <c r="U1250" s="238">
        <f t="shared" si="1204"/>
        <v>0</v>
      </c>
      <c r="V1250" s="238">
        <f t="shared" si="1205"/>
        <v>6507000</v>
      </c>
      <c r="W1250" s="238">
        <f t="shared" si="1205"/>
        <v>0</v>
      </c>
      <c r="X1250" s="238">
        <f t="shared" si="1205"/>
        <v>0</v>
      </c>
    </row>
    <row r="1251" spans="1:24" s="229" customFormat="1" ht="25.5" hidden="1">
      <c r="A1251" s="240" t="s">
        <v>260</v>
      </c>
      <c r="B1251" s="227" t="s">
        <v>402</v>
      </c>
      <c r="C1251" s="227" t="s">
        <v>16</v>
      </c>
      <c r="D1251" s="227" t="s">
        <v>27</v>
      </c>
      <c r="E1251" s="227" t="s">
        <v>18</v>
      </c>
      <c r="F1251" s="227" t="s">
        <v>70</v>
      </c>
      <c r="G1251" s="227" t="s">
        <v>148</v>
      </c>
      <c r="H1251" s="267" t="s">
        <v>311</v>
      </c>
      <c r="I1251" s="272" t="s">
        <v>94</v>
      </c>
      <c r="J1251" s="238"/>
      <c r="K1251" s="238"/>
      <c r="L1251" s="238"/>
      <c r="M1251" s="238"/>
      <c r="N1251" s="238"/>
      <c r="O1251" s="238"/>
      <c r="P1251" s="238">
        <f>P1252</f>
        <v>6507000</v>
      </c>
      <c r="Q1251" s="238">
        <f t="shared" si="1204"/>
        <v>0</v>
      </c>
      <c r="R1251" s="238">
        <f t="shared" si="1204"/>
        <v>0</v>
      </c>
      <c r="S1251" s="238">
        <f t="shared" si="1204"/>
        <v>0</v>
      </c>
      <c r="T1251" s="238">
        <f t="shared" si="1204"/>
        <v>0</v>
      </c>
      <c r="U1251" s="238">
        <f t="shared" si="1204"/>
        <v>0</v>
      </c>
      <c r="V1251" s="238">
        <f t="shared" si="1205"/>
        <v>6507000</v>
      </c>
      <c r="W1251" s="238">
        <f t="shared" si="1205"/>
        <v>0</v>
      </c>
      <c r="X1251" s="238">
        <f t="shared" si="1205"/>
        <v>0</v>
      </c>
    </row>
    <row r="1252" spans="1:24" s="229" customFormat="1" ht="25.5" hidden="1">
      <c r="A1252" s="239" t="s">
        <v>98</v>
      </c>
      <c r="B1252" s="227" t="s">
        <v>402</v>
      </c>
      <c r="C1252" s="227" t="s">
        <v>16</v>
      </c>
      <c r="D1252" s="227" t="s">
        <v>27</v>
      </c>
      <c r="E1252" s="227" t="s">
        <v>18</v>
      </c>
      <c r="F1252" s="227" t="s">
        <v>70</v>
      </c>
      <c r="G1252" s="227" t="s">
        <v>148</v>
      </c>
      <c r="H1252" s="267" t="s">
        <v>311</v>
      </c>
      <c r="I1252" s="272" t="s">
        <v>95</v>
      </c>
      <c r="J1252" s="238"/>
      <c r="K1252" s="238"/>
      <c r="L1252" s="238"/>
      <c r="M1252" s="238"/>
      <c r="N1252" s="238"/>
      <c r="O1252" s="238"/>
      <c r="P1252" s="238">
        <v>6507000</v>
      </c>
      <c r="Q1252" s="238">
        <f t="shared" ref="Q1252:R1252" si="1206">K1252+N1252</f>
        <v>0</v>
      </c>
      <c r="R1252" s="238">
        <f t="shared" si="1206"/>
        <v>0</v>
      </c>
      <c r="S1252" s="238"/>
      <c r="T1252" s="238"/>
      <c r="U1252" s="238"/>
      <c r="V1252" s="238">
        <f t="shared" si="1205"/>
        <v>6507000</v>
      </c>
      <c r="W1252" s="238">
        <f t="shared" si="1205"/>
        <v>0</v>
      </c>
      <c r="X1252" s="238">
        <f t="shared" si="1205"/>
        <v>0</v>
      </c>
    </row>
    <row r="1253" spans="1:24" s="229" customFormat="1" hidden="1">
      <c r="A1253" s="230" t="s">
        <v>60</v>
      </c>
      <c r="B1253" s="231" t="s">
        <v>402</v>
      </c>
      <c r="C1253" s="231" t="s">
        <v>16</v>
      </c>
      <c r="D1253" s="231" t="s">
        <v>14</v>
      </c>
      <c r="E1253" s="231"/>
      <c r="F1253" s="231"/>
      <c r="G1253" s="231"/>
      <c r="H1253" s="227"/>
      <c r="I1253" s="237"/>
      <c r="J1253" s="234"/>
      <c r="K1253" s="234"/>
      <c r="L1253" s="234"/>
      <c r="M1253" s="234"/>
      <c r="N1253" s="234"/>
      <c r="O1253" s="234"/>
      <c r="P1253" s="234">
        <f t="shared" ref="P1253:U1256" si="1207">P1254</f>
        <v>600000</v>
      </c>
      <c r="Q1253" s="234">
        <f t="shared" si="1207"/>
        <v>0</v>
      </c>
      <c r="R1253" s="234">
        <f t="shared" si="1207"/>
        <v>0</v>
      </c>
      <c r="S1253" s="234">
        <f t="shared" si="1207"/>
        <v>0</v>
      </c>
      <c r="T1253" s="234">
        <f t="shared" si="1207"/>
        <v>0</v>
      </c>
      <c r="U1253" s="234">
        <f t="shared" si="1207"/>
        <v>0</v>
      </c>
      <c r="V1253" s="234">
        <f>P1253+S1253</f>
        <v>600000</v>
      </c>
      <c r="W1253" s="234">
        <f>Q1253+T1253</f>
        <v>0</v>
      </c>
      <c r="X1253" s="234">
        <f>R1253+U1253</f>
        <v>0</v>
      </c>
    </row>
    <row r="1254" spans="1:24" s="229" customFormat="1" hidden="1">
      <c r="A1254" s="235" t="s">
        <v>84</v>
      </c>
      <c r="B1254" s="227" t="s">
        <v>402</v>
      </c>
      <c r="C1254" s="227" t="s">
        <v>16</v>
      </c>
      <c r="D1254" s="227" t="s">
        <v>14</v>
      </c>
      <c r="E1254" s="227" t="s">
        <v>82</v>
      </c>
      <c r="F1254" s="227" t="s">
        <v>70</v>
      </c>
      <c r="G1254" s="227" t="s">
        <v>148</v>
      </c>
      <c r="H1254" s="227" t="s">
        <v>149</v>
      </c>
      <c r="I1254" s="237"/>
      <c r="J1254" s="238"/>
      <c r="K1254" s="238"/>
      <c r="L1254" s="238"/>
      <c r="M1254" s="238"/>
      <c r="N1254" s="238"/>
      <c r="O1254" s="238"/>
      <c r="P1254" s="238">
        <f>P1255</f>
        <v>600000</v>
      </c>
      <c r="Q1254" s="238">
        <f t="shared" si="1207"/>
        <v>0</v>
      </c>
      <c r="R1254" s="238">
        <f t="shared" si="1207"/>
        <v>0</v>
      </c>
      <c r="S1254" s="238">
        <f t="shared" si="1207"/>
        <v>0</v>
      </c>
      <c r="T1254" s="238">
        <f t="shared" si="1207"/>
        <v>0</v>
      </c>
      <c r="U1254" s="238">
        <f t="shared" si="1207"/>
        <v>0</v>
      </c>
      <c r="V1254" s="238">
        <f t="shared" si="1205"/>
        <v>600000</v>
      </c>
      <c r="W1254" s="238">
        <f t="shared" si="1205"/>
        <v>0</v>
      </c>
      <c r="X1254" s="238">
        <f t="shared" si="1205"/>
        <v>0</v>
      </c>
    </row>
    <row r="1255" spans="1:24" s="229" customFormat="1" ht="38.25" hidden="1">
      <c r="A1255" s="235" t="s">
        <v>350</v>
      </c>
      <c r="B1255" s="227" t="s">
        <v>402</v>
      </c>
      <c r="C1255" s="227" t="s">
        <v>16</v>
      </c>
      <c r="D1255" s="227" t="s">
        <v>14</v>
      </c>
      <c r="E1255" s="227" t="s">
        <v>82</v>
      </c>
      <c r="F1255" s="227" t="s">
        <v>70</v>
      </c>
      <c r="G1255" s="227" t="s">
        <v>148</v>
      </c>
      <c r="H1255" s="227" t="s">
        <v>179</v>
      </c>
      <c r="I1255" s="237"/>
      <c r="J1255" s="238"/>
      <c r="K1255" s="238"/>
      <c r="L1255" s="238"/>
      <c r="M1255" s="238"/>
      <c r="N1255" s="238"/>
      <c r="O1255" s="238"/>
      <c r="P1255" s="238">
        <f>P1256</f>
        <v>600000</v>
      </c>
      <c r="Q1255" s="238">
        <f t="shared" si="1207"/>
        <v>0</v>
      </c>
      <c r="R1255" s="238">
        <f t="shared" si="1207"/>
        <v>0</v>
      </c>
      <c r="S1255" s="238">
        <f t="shared" si="1207"/>
        <v>0</v>
      </c>
      <c r="T1255" s="238">
        <f t="shared" si="1207"/>
        <v>0</v>
      </c>
      <c r="U1255" s="238">
        <f t="shared" si="1207"/>
        <v>0</v>
      </c>
      <c r="V1255" s="238">
        <f t="shared" si="1205"/>
        <v>600000</v>
      </c>
      <c r="W1255" s="238">
        <f t="shared" si="1205"/>
        <v>0</v>
      </c>
      <c r="X1255" s="238">
        <f t="shared" si="1205"/>
        <v>0</v>
      </c>
    </row>
    <row r="1256" spans="1:24" s="229" customFormat="1" ht="25.5" hidden="1">
      <c r="A1256" s="240" t="s">
        <v>260</v>
      </c>
      <c r="B1256" s="227" t="s">
        <v>402</v>
      </c>
      <c r="C1256" s="227" t="s">
        <v>16</v>
      </c>
      <c r="D1256" s="227" t="s">
        <v>14</v>
      </c>
      <c r="E1256" s="227" t="s">
        <v>82</v>
      </c>
      <c r="F1256" s="227" t="s">
        <v>70</v>
      </c>
      <c r="G1256" s="227" t="s">
        <v>148</v>
      </c>
      <c r="H1256" s="227" t="s">
        <v>179</v>
      </c>
      <c r="I1256" s="237" t="s">
        <v>94</v>
      </c>
      <c r="J1256" s="238"/>
      <c r="K1256" s="238"/>
      <c r="L1256" s="238"/>
      <c r="M1256" s="238"/>
      <c r="N1256" s="238"/>
      <c r="O1256" s="238"/>
      <c r="P1256" s="238">
        <f>P1257</f>
        <v>600000</v>
      </c>
      <c r="Q1256" s="238">
        <f t="shared" si="1207"/>
        <v>0</v>
      </c>
      <c r="R1256" s="238">
        <f t="shared" si="1207"/>
        <v>0</v>
      </c>
      <c r="S1256" s="238">
        <f t="shared" si="1207"/>
        <v>0</v>
      </c>
      <c r="T1256" s="238">
        <f t="shared" si="1207"/>
        <v>0</v>
      </c>
      <c r="U1256" s="238">
        <f t="shared" si="1207"/>
        <v>0</v>
      </c>
      <c r="V1256" s="238">
        <f t="shared" si="1205"/>
        <v>600000</v>
      </c>
      <c r="W1256" s="238">
        <f t="shared" si="1205"/>
        <v>0</v>
      </c>
      <c r="X1256" s="238">
        <f t="shared" si="1205"/>
        <v>0</v>
      </c>
    </row>
    <row r="1257" spans="1:24" s="229" customFormat="1" ht="25.5" hidden="1">
      <c r="A1257" s="239" t="s">
        <v>98</v>
      </c>
      <c r="B1257" s="227" t="s">
        <v>402</v>
      </c>
      <c r="C1257" s="227" t="s">
        <v>16</v>
      </c>
      <c r="D1257" s="227" t="s">
        <v>14</v>
      </c>
      <c r="E1257" s="227" t="s">
        <v>82</v>
      </c>
      <c r="F1257" s="227" t="s">
        <v>70</v>
      </c>
      <c r="G1257" s="227" t="s">
        <v>148</v>
      </c>
      <c r="H1257" s="227" t="s">
        <v>179</v>
      </c>
      <c r="I1257" s="237" t="s">
        <v>95</v>
      </c>
      <c r="J1257" s="238"/>
      <c r="K1257" s="238"/>
      <c r="L1257" s="238"/>
      <c r="M1257" s="238"/>
      <c r="N1257" s="238"/>
      <c r="O1257" s="238"/>
      <c r="P1257" s="238">
        <v>600000</v>
      </c>
      <c r="Q1257" s="238"/>
      <c r="R1257" s="238"/>
      <c r="S1257" s="238"/>
      <c r="T1257" s="238"/>
      <c r="U1257" s="238"/>
      <c r="V1257" s="238">
        <f t="shared" si="1205"/>
        <v>600000</v>
      </c>
      <c r="W1257" s="238">
        <f t="shared" si="1205"/>
        <v>0</v>
      </c>
      <c r="X1257" s="238">
        <f t="shared" si="1205"/>
        <v>0</v>
      </c>
    </row>
    <row r="1258" spans="1:24" s="229" customFormat="1" ht="15.75" hidden="1">
      <c r="A1258" s="273" t="s">
        <v>46</v>
      </c>
      <c r="B1258" s="274" t="s">
        <v>402</v>
      </c>
      <c r="C1258" s="274" t="s">
        <v>18</v>
      </c>
      <c r="D1258" s="274"/>
      <c r="E1258" s="274"/>
      <c r="F1258" s="274"/>
      <c r="G1258" s="274"/>
      <c r="H1258" s="274"/>
      <c r="I1258" s="275"/>
      <c r="J1258" s="228"/>
      <c r="K1258" s="228"/>
      <c r="L1258" s="228"/>
      <c r="M1258" s="228"/>
      <c r="N1258" s="228"/>
      <c r="O1258" s="228"/>
      <c r="P1258" s="228">
        <f>P1259</f>
        <v>1225815</v>
      </c>
      <c r="Q1258" s="228">
        <f t="shared" ref="Q1258:U1259" si="1208">Q1259</f>
        <v>1264859.5599999998</v>
      </c>
      <c r="R1258" s="228">
        <f t="shared" si="1208"/>
        <v>1244353.8599999999</v>
      </c>
      <c r="S1258" s="228">
        <f t="shared" si="1208"/>
        <v>0</v>
      </c>
      <c r="T1258" s="228">
        <f t="shared" si="1208"/>
        <v>0</v>
      </c>
      <c r="U1258" s="228">
        <f t="shared" si="1208"/>
        <v>0</v>
      </c>
      <c r="V1258" s="228">
        <f t="shared" si="1205"/>
        <v>1225815</v>
      </c>
      <c r="W1258" s="228">
        <f t="shared" si="1205"/>
        <v>1264859.5599999998</v>
      </c>
      <c r="X1258" s="228">
        <f t="shared" si="1205"/>
        <v>1244353.8599999999</v>
      </c>
    </row>
    <row r="1259" spans="1:24" s="255" customFormat="1" hidden="1">
      <c r="A1259" s="278" t="s">
        <v>68</v>
      </c>
      <c r="B1259" s="231" t="s">
        <v>402</v>
      </c>
      <c r="C1259" s="231" t="s">
        <v>18</v>
      </c>
      <c r="D1259" s="231" t="s">
        <v>13</v>
      </c>
      <c r="E1259" s="231"/>
      <c r="F1259" s="231"/>
      <c r="G1259" s="231"/>
      <c r="H1259" s="231"/>
      <c r="I1259" s="242"/>
      <c r="J1259" s="234"/>
      <c r="K1259" s="234"/>
      <c r="L1259" s="234"/>
      <c r="M1259" s="234"/>
      <c r="N1259" s="234"/>
      <c r="O1259" s="234"/>
      <c r="P1259" s="234">
        <f>P1260</f>
        <v>1225815</v>
      </c>
      <c r="Q1259" s="234">
        <f t="shared" si="1208"/>
        <v>1264859.5599999998</v>
      </c>
      <c r="R1259" s="234">
        <f t="shared" si="1208"/>
        <v>1244353.8599999999</v>
      </c>
      <c r="S1259" s="234">
        <f t="shared" si="1208"/>
        <v>0</v>
      </c>
      <c r="T1259" s="234">
        <f t="shared" si="1208"/>
        <v>0</v>
      </c>
      <c r="U1259" s="234">
        <f t="shared" si="1208"/>
        <v>0</v>
      </c>
      <c r="V1259" s="234">
        <f t="shared" si="1205"/>
        <v>1225815</v>
      </c>
      <c r="W1259" s="234">
        <f t="shared" si="1205"/>
        <v>1264859.5599999998</v>
      </c>
      <c r="X1259" s="234">
        <f t="shared" si="1205"/>
        <v>1244353.8599999999</v>
      </c>
    </row>
    <row r="1260" spans="1:24" s="229" customFormat="1" hidden="1">
      <c r="A1260" s="235" t="s">
        <v>83</v>
      </c>
      <c r="B1260" s="227" t="s">
        <v>402</v>
      </c>
      <c r="C1260" s="227" t="s">
        <v>18</v>
      </c>
      <c r="D1260" s="227" t="s">
        <v>13</v>
      </c>
      <c r="E1260" s="227" t="s">
        <v>82</v>
      </c>
      <c r="F1260" s="227" t="s">
        <v>70</v>
      </c>
      <c r="G1260" s="227" t="s">
        <v>148</v>
      </c>
      <c r="H1260" s="227" t="s">
        <v>149</v>
      </c>
      <c r="I1260" s="237"/>
      <c r="J1260" s="238"/>
      <c r="K1260" s="238"/>
      <c r="L1260" s="238"/>
      <c r="M1260" s="238"/>
      <c r="N1260" s="238"/>
      <c r="O1260" s="238"/>
      <c r="P1260" s="238">
        <f>P1261+P1264</f>
        <v>1225815</v>
      </c>
      <c r="Q1260" s="238">
        <f t="shared" ref="Q1260:U1260" si="1209">Q1261+Q1264</f>
        <v>1264859.5599999998</v>
      </c>
      <c r="R1260" s="238">
        <f t="shared" si="1209"/>
        <v>1244353.8599999999</v>
      </c>
      <c r="S1260" s="238">
        <f t="shared" si="1209"/>
        <v>0</v>
      </c>
      <c r="T1260" s="238">
        <f t="shared" si="1209"/>
        <v>0</v>
      </c>
      <c r="U1260" s="238">
        <f t="shared" si="1209"/>
        <v>0</v>
      </c>
      <c r="V1260" s="238">
        <f t="shared" si="1205"/>
        <v>1225815</v>
      </c>
      <c r="W1260" s="238">
        <f t="shared" si="1205"/>
        <v>1264859.5599999998</v>
      </c>
      <c r="X1260" s="238">
        <f t="shared" si="1205"/>
        <v>1244353.8599999999</v>
      </c>
    </row>
    <row r="1261" spans="1:24" s="229" customFormat="1" ht="14.25" hidden="1">
      <c r="A1261" s="283" t="s">
        <v>362</v>
      </c>
      <c r="B1261" s="227" t="s">
        <v>402</v>
      </c>
      <c r="C1261" s="227" t="s">
        <v>18</v>
      </c>
      <c r="D1261" s="227" t="s">
        <v>13</v>
      </c>
      <c r="E1261" s="227" t="s">
        <v>82</v>
      </c>
      <c r="F1261" s="227" t="s">
        <v>70</v>
      </c>
      <c r="G1261" s="227" t="s">
        <v>148</v>
      </c>
      <c r="H1261" s="227" t="s">
        <v>361</v>
      </c>
      <c r="I1261" s="237"/>
      <c r="J1261" s="238"/>
      <c r="K1261" s="238"/>
      <c r="L1261" s="238"/>
      <c r="M1261" s="238"/>
      <c r="N1261" s="238"/>
      <c r="O1261" s="238"/>
      <c r="P1261" s="238">
        <f>P1262</f>
        <v>26058</v>
      </c>
      <c r="Q1261" s="238">
        <f t="shared" ref="Q1261:U1262" si="1210">Q1262</f>
        <v>26058</v>
      </c>
      <c r="R1261" s="238">
        <f t="shared" si="1210"/>
        <v>26058</v>
      </c>
      <c r="S1261" s="238">
        <f t="shared" si="1210"/>
        <v>0</v>
      </c>
      <c r="T1261" s="238">
        <f t="shared" si="1210"/>
        <v>0</v>
      </c>
      <c r="U1261" s="238">
        <f t="shared" si="1210"/>
        <v>0</v>
      </c>
      <c r="V1261" s="238">
        <f t="shared" si="1205"/>
        <v>26058</v>
      </c>
      <c r="W1261" s="238">
        <f t="shared" si="1205"/>
        <v>26058</v>
      </c>
      <c r="X1261" s="238">
        <f t="shared" si="1205"/>
        <v>26058</v>
      </c>
    </row>
    <row r="1262" spans="1:24" s="229" customFormat="1" ht="25.5" hidden="1">
      <c r="A1262" s="240" t="s">
        <v>260</v>
      </c>
      <c r="B1262" s="227" t="s">
        <v>402</v>
      </c>
      <c r="C1262" s="227" t="s">
        <v>18</v>
      </c>
      <c r="D1262" s="227" t="s">
        <v>13</v>
      </c>
      <c r="E1262" s="227" t="s">
        <v>82</v>
      </c>
      <c r="F1262" s="227" t="s">
        <v>70</v>
      </c>
      <c r="G1262" s="227" t="s">
        <v>148</v>
      </c>
      <c r="H1262" s="227" t="s">
        <v>361</v>
      </c>
      <c r="I1262" s="237" t="s">
        <v>94</v>
      </c>
      <c r="J1262" s="238"/>
      <c r="K1262" s="238"/>
      <c r="L1262" s="238"/>
      <c r="M1262" s="238"/>
      <c r="N1262" s="238"/>
      <c r="O1262" s="238"/>
      <c r="P1262" s="238">
        <f>P1263</f>
        <v>26058</v>
      </c>
      <c r="Q1262" s="238">
        <f t="shared" si="1210"/>
        <v>26058</v>
      </c>
      <c r="R1262" s="238">
        <f t="shared" si="1210"/>
        <v>26058</v>
      </c>
      <c r="S1262" s="238">
        <f t="shared" si="1210"/>
        <v>0</v>
      </c>
      <c r="T1262" s="238">
        <f t="shared" si="1210"/>
        <v>0</v>
      </c>
      <c r="U1262" s="238">
        <f t="shared" si="1210"/>
        <v>0</v>
      </c>
      <c r="V1262" s="238">
        <f t="shared" si="1205"/>
        <v>26058</v>
      </c>
      <c r="W1262" s="238">
        <f t="shared" si="1205"/>
        <v>26058</v>
      </c>
      <c r="X1262" s="238">
        <f t="shared" si="1205"/>
        <v>26058</v>
      </c>
    </row>
    <row r="1263" spans="1:24" s="229" customFormat="1" ht="25.5" hidden="1">
      <c r="A1263" s="239" t="s">
        <v>98</v>
      </c>
      <c r="B1263" s="227" t="s">
        <v>402</v>
      </c>
      <c r="C1263" s="227" t="s">
        <v>18</v>
      </c>
      <c r="D1263" s="227" t="s">
        <v>13</v>
      </c>
      <c r="E1263" s="227" t="s">
        <v>82</v>
      </c>
      <c r="F1263" s="227" t="s">
        <v>70</v>
      </c>
      <c r="G1263" s="227" t="s">
        <v>148</v>
      </c>
      <c r="H1263" s="227" t="s">
        <v>361</v>
      </c>
      <c r="I1263" s="237" t="s">
        <v>95</v>
      </c>
      <c r="J1263" s="238"/>
      <c r="K1263" s="238"/>
      <c r="L1263" s="238"/>
      <c r="M1263" s="238"/>
      <c r="N1263" s="238"/>
      <c r="O1263" s="238"/>
      <c r="P1263" s="238">
        <v>26058</v>
      </c>
      <c r="Q1263" s="238">
        <v>26058</v>
      </c>
      <c r="R1263" s="238">
        <v>26058</v>
      </c>
      <c r="S1263" s="238"/>
      <c r="T1263" s="238"/>
      <c r="U1263" s="238"/>
      <c r="V1263" s="238">
        <f t="shared" si="1205"/>
        <v>26058</v>
      </c>
      <c r="W1263" s="238">
        <f t="shared" si="1205"/>
        <v>26058</v>
      </c>
      <c r="X1263" s="238">
        <f t="shared" si="1205"/>
        <v>26058</v>
      </c>
    </row>
    <row r="1264" spans="1:24" s="229" customFormat="1" hidden="1">
      <c r="A1264" s="239" t="s">
        <v>367</v>
      </c>
      <c r="B1264" s="227" t="s">
        <v>402</v>
      </c>
      <c r="C1264" s="227" t="s">
        <v>18</v>
      </c>
      <c r="D1264" s="227" t="s">
        <v>13</v>
      </c>
      <c r="E1264" s="227" t="s">
        <v>82</v>
      </c>
      <c r="F1264" s="227" t="s">
        <v>70</v>
      </c>
      <c r="G1264" s="227" t="s">
        <v>148</v>
      </c>
      <c r="H1264" s="227" t="s">
        <v>360</v>
      </c>
      <c r="I1264" s="237"/>
      <c r="J1264" s="238"/>
      <c r="K1264" s="238"/>
      <c r="L1264" s="238"/>
      <c r="M1264" s="238"/>
      <c r="N1264" s="238"/>
      <c r="O1264" s="238"/>
      <c r="P1264" s="238">
        <f>P1265</f>
        <v>1199757</v>
      </c>
      <c r="Q1264" s="238">
        <f t="shared" ref="Q1264:U1265" si="1211">Q1265</f>
        <v>1238801.5599999998</v>
      </c>
      <c r="R1264" s="238">
        <f t="shared" si="1211"/>
        <v>1218295.8599999999</v>
      </c>
      <c r="S1264" s="238">
        <f t="shared" si="1211"/>
        <v>0</v>
      </c>
      <c r="T1264" s="238">
        <f t="shared" si="1211"/>
        <v>0</v>
      </c>
      <c r="U1264" s="238">
        <f t="shared" si="1211"/>
        <v>0</v>
      </c>
      <c r="V1264" s="238">
        <f t="shared" si="1205"/>
        <v>1199757</v>
      </c>
      <c r="W1264" s="238">
        <f t="shared" si="1205"/>
        <v>1238801.5599999998</v>
      </c>
      <c r="X1264" s="238">
        <f t="shared" si="1205"/>
        <v>1218295.8599999999</v>
      </c>
    </row>
    <row r="1265" spans="1:24" s="229" customFormat="1" ht="25.5" hidden="1">
      <c r="A1265" s="240" t="s">
        <v>260</v>
      </c>
      <c r="B1265" s="227" t="s">
        <v>402</v>
      </c>
      <c r="C1265" s="227" t="s">
        <v>18</v>
      </c>
      <c r="D1265" s="227" t="s">
        <v>13</v>
      </c>
      <c r="E1265" s="227" t="s">
        <v>82</v>
      </c>
      <c r="F1265" s="227" t="s">
        <v>70</v>
      </c>
      <c r="G1265" s="227" t="s">
        <v>148</v>
      </c>
      <c r="H1265" s="227" t="s">
        <v>360</v>
      </c>
      <c r="I1265" s="237" t="s">
        <v>94</v>
      </c>
      <c r="J1265" s="238"/>
      <c r="K1265" s="238"/>
      <c r="L1265" s="238"/>
      <c r="M1265" s="238"/>
      <c r="N1265" s="238"/>
      <c r="O1265" s="238"/>
      <c r="P1265" s="238">
        <f>P1266</f>
        <v>1199757</v>
      </c>
      <c r="Q1265" s="238">
        <f t="shared" si="1211"/>
        <v>1238801.5599999998</v>
      </c>
      <c r="R1265" s="238">
        <f t="shared" si="1211"/>
        <v>1218295.8599999999</v>
      </c>
      <c r="S1265" s="238">
        <f t="shared" si="1211"/>
        <v>0</v>
      </c>
      <c r="T1265" s="238">
        <f t="shared" si="1211"/>
        <v>0</v>
      </c>
      <c r="U1265" s="238">
        <f t="shared" si="1211"/>
        <v>0</v>
      </c>
      <c r="V1265" s="238">
        <f t="shared" ref="V1265:X1266" si="1212">P1265+S1265</f>
        <v>1199757</v>
      </c>
      <c r="W1265" s="238">
        <f t="shared" si="1212"/>
        <v>1238801.5599999998</v>
      </c>
      <c r="X1265" s="238">
        <f t="shared" si="1212"/>
        <v>1218295.8599999999</v>
      </c>
    </row>
    <row r="1266" spans="1:24" s="229" customFormat="1" ht="25.5" hidden="1">
      <c r="A1266" s="239" t="s">
        <v>98</v>
      </c>
      <c r="B1266" s="227" t="s">
        <v>402</v>
      </c>
      <c r="C1266" s="227" t="s">
        <v>18</v>
      </c>
      <c r="D1266" s="227" t="s">
        <v>13</v>
      </c>
      <c r="E1266" s="227" t="s">
        <v>82</v>
      </c>
      <c r="F1266" s="227" t="s">
        <v>70</v>
      </c>
      <c r="G1266" s="227" t="s">
        <v>148</v>
      </c>
      <c r="H1266" s="227" t="s">
        <v>360</v>
      </c>
      <c r="I1266" s="237" t="s">
        <v>95</v>
      </c>
      <c r="J1266" s="238"/>
      <c r="K1266" s="238"/>
      <c r="L1266" s="238"/>
      <c r="M1266" s="238"/>
      <c r="N1266" s="238"/>
      <c r="O1266" s="238"/>
      <c r="P1266" s="238">
        <f>1079259+120498</f>
        <v>1199757</v>
      </c>
      <c r="Q1266" s="238">
        <f>1113483.64+125317.92</f>
        <v>1238801.5599999998</v>
      </c>
      <c r="R1266" s="238">
        <f>1087965.22+130330.64</f>
        <v>1218295.8599999999</v>
      </c>
      <c r="S1266" s="238"/>
      <c r="T1266" s="238"/>
      <c r="U1266" s="238"/>
      <c r="V1266" s="238">
        <f t="shared" si="1212"/>
        <v>1199757</v>
      </c>
      <c r="W1266" s="238">
        <f t="shared" si="1212"/>
        <v>1238801.5599999998</v>
      </c>
      <c r="X1266" s="238">
        <f t="shared" si="1212"/>
        <v>1218295.8599999999</v>
      </c>
    </row>
    <row r="1267" spans="1:24" s="222" customFormat="1" ht="15.75" hidden="1">
      <c r="A1267" s="221" t="s">
        <v>462</v>
      </c>
      <c r="P1267" s="223">
        <f t="shared" ref="P1267:X1267" si="1213">P1268+P1288+P1296+P1302+P1313</f>
        <v>19233463.270000003</v>
      </c>
      <c r="Q1267" s="223">
        <f t="shared" si="1213"/>
        <v>11216540.789999999</v>
      </c>
      <c r="R1267" s="223">
        <f t="shared" si="1213"/>
        <v>11156641.1</v>
      </c>
      <c r="S1267" s="223">
        <f t="shared" si="1213"/>
        <v>13327.15</v>
      </c>
      <c r="T1267" s="223">
        <f t="shared" si="1213"/>
        <v>0</v>
      </c>
      <c r="U1267" s="223">
        <f t="shared" si="1213"/>
        <v>0</v>
      </c>
      <c r="V1267" s="223">
        <f t="shared" si="1213"/>
        <v>19246790.420000002</v>
      </c>
      <c r="W1267" s="223">
        <f t="shared" si="1213"/>
        <v>11216540.789999999</v>
      </c>
      <c r="X1267" s="223">
        <f t="shared" si="1213"/>
        <v>11156641.1</v>
      </c>
    </row>
    <row r="1268" spans="1:24" s="229" customFormat="1" ht="15.75" hidden="1">
      <c r="A1268" s="225" t="s">
        <v>32</v>
      </c>
      <c r="B1268" s="226" t="s">
        <v>402</v>
      </c>
      <c r="C1268" s="226" t="s">
        <v>20</v>
      </c>
      <c r="D1268" s="227"/>
      <c r="E1268" s="227"/>
      <c r="F1268" s="227"/>
      <c r="G1268" s="227"/>
      <c r="H1268" s="227"/>
      <c r="I1268" s="227"/>
      <c r="J1268" s="228"/>
      <c r="K1268" s="228"/>
      <c r="L1268" s="228"/>
      <c r="M1268" s="228"/>
      <c r="N1268" s="228"/>
      <c r="O1268" s="228"/>
      <c r="P1268" s="228">
        <f t="shared" ref="P1268:U1268" si="1214">P1269+P1278</f>
        <v>10925136.550000001</v>
      </c>
      <c r="Q1268" s="228">
        <f t="shared" si="1214"/>
        <v>10550386.109999999</v>
      </c>
      <c r="R1268" s="228">
        <f t="shared" si="1214"/>
        <v>10533760.710000001</v>
      </c>
      <c r="S1268" s="228">
        <f t="shared" si="1214"/>
        <v>13327.15</v>
      </c>
      <c r="T1268" s="228">
        <f t="shared" si="1214"/>
        <v>0</v>
      </c>
      <c r="U1268" s="228">
        <f t="shared" si="1214"/>
        <v>0</v>
      </c>
      <c r="V1268" s="228">
        <f t="shared" ref="V1268:X1283" si="1215">P1268+S1268</f>
        <v>10938463.700000001</v>
      </c>
      <c r="W1268" s="228">
        <f t="shared" si="1215"/>
        <v>10550386.109999999</v>
      </c>
      <c r="X1268" s="228">
        <f t="shared" si="1215"/>
        <v>10533760.710000001</v>
      </c>
    </row>
    <row r="1269" spans="1:24" s="229" customFormat="1" ht="38.25" hidden="1">
      <c r="A1269" s="230" t="s">
        <v>0</v>
      </c>
      <c r="B1269" s="231" t="s">
        <v>402</v>
      </c>
      <c r="C1269" s="231" t="s">
        <v>20</v>
      </c>
      <c r="D1269" s="231" t="s">
        <v>16</v>
      </c>
      <c r="E1269" s="231"/>
      <c r="F1269" s="231"/>
      <c r="G1269" s="231"/>
      <c r="H1269" s="227"/>
      <c r="I1269" s="237"/>
      <c r="J1269" s="234"/>
      <c r="K1269" s="234"/>
      <c r="L1269" s="234"/>
      <c r="M1269" s="234"/>
      <c r="N1269" s="234"/>
      <c r="O1269" s="234"/>
      <c r="P1269" s="234">
        <f>P1270</f>
        <v>10427624</v>
      </c>
      <c r="Q1269" s="234">
        <f t="shared" ref="Q1269:U1270" si="1216">Q1270</f>
        <v>10550386.109999999</v>
      </c>
      <c r="R1269" s="234">
        <f t="shared" si="1216"/>
        <v>10533760.710000001</v>
      </c>
      <c r="S1269" s="234">
        <f t="shared" si="1216"/>
        <v>0</v>
      </c>
      <c r="T1269" s="234">
        <f t="shared" si="1216"/>
        <v>0</v>
      </c>
      <c r="U1269" s="234">
        <f t="shared" si="1216"/>
        <v>0</v>
      </c>
      <c r="V1269" s="234">
        <f t="shared" si="1215"/>
        <v>10427624</v>
      </c>
      <c r="W1269" s="234">
        <f t="shared" si="1215"/>
        <v>10550386.109999999</v>
      </c>
      <c r="X1269" s="234">
        <f t="shared" si="1215"/>
        <v>10533760.710000001</v>
      </c>
    </row>
    <row r="1270" spans="1:24" s="229" customFormat="1" hidden="1">
      <c r="A1270" s="235" t="s">
        <v>83</v>
      </c>
      <c r="B1270" s="227" t="s">
        <v>402</v>
      </c>
      <c r="C1270" s="227" t="s">
        <v>20</v>
      </c>
      <c r="D1270" s="227" t="s">
        <v>16</v>
      </c>
      <c r="E1270" s="227" t="s">
        <v>82</v>
      </c>
      <c r="F1270" s="227" t="s">
        <v>70</v>
      </c>
      <c r="G1270" s="227" t="s">
        <v>148</v>
      </c>
      <c r="H1270" s="227" t="s">
        <v>149</v>
      </c>
      <c r="I1270" s="237"/>
      <c r="J1270" s="238"/>
      <c r="K1270" s="238"/>
      <c r="L1270" s="238"/>
      <c r="M1270" s="238"/>
      <c r="N1270" s="238"/>
      <c r="O1270" s="238"/>
      <c r="P1270" s="238">
        <f>P1271</f>
        <v>10427624</v>
      </c>
      <c r="Q1270" s="238">
        <f t="shared" si="1216"/>
        <v>10550386.109999999</v>
      </c>
      <c r="R1270" s="238">
        <f t="shared" si="1216"/>
        <v>10533760.710000001</v>
      </c>
      <c r="S1270" s="238">
        <f t="shared" si="1216"/>
        <v>0</v>
      </c>
      <c r="T1270" s="238">
        <f t="shared" si="1216"/>
        <v>0</v>
      </c>
      <c r="U1270" s="238">
        <f t="shared" si="1216"/>
        <v>0</v>
      </c>
      <c r="V1270" s="238">
        <f t="shared" si="1215"/>
        <v>10427624</v>
      </c>
      <c r="W1270" s="238">
        <f t="shared" si="1215"/>
        <v>10550386.109999999</v>
      </c>
      <c r="X1270" s="238">
        <f t="shared" si="1215"/>
        <v>10533760.710000001</v>
      </c>
    </row>
    <row r="1271" spans="1:24" s="229" customFormat="1" ht="25.5" hidden="1">
      <c r="A1271" s="235" t="s">
        <v>87</v>
      </c>
      <c r="B1271" s="227" t="s">
        <v>402</v>
      </c>
      <c r="C1271" s="227" t="s">
        <v>20</v>
      </c>
      <c r="D1271" s="227" t="s">
        <v>16</v>
      </c>
      <c r="E1271" s="227" t="s">
        <v>82</v>
      </c>
      <c r="F1271" s="227" t="s">
        <v>70</v>
      </c>
      <c r="G1271" s="227" t="s">
        <v>148</v>
      </c>
      <c r="H1271" s="227" t="s">
        <v>158</v>
      </c>
      <c r="I1271" s="237"/>
      <c r="J1271" s="238"/>
      <c r="K1271" s="238"/>
      <c r="L1271" s="238"/>
      <c r="M1271" s="238"/>
      <c r="N1271" s="238"/>
      <c r="O1271" s="238"/>
      <c r="P1271" s="238">
        <f>P1272+P1274+P1276</f>
        <v>10427624</v>
      </c>
      <c r="Q1271" s="238">
        <f t="shared" ref="Q1271:U1271" si="1217">Q1272+Q1274+Q1276</f>
        <v>10550386.109999999</v>
      </c>
      <c r="R1271" s="238">
        <f t="shared" si="1217"/>
        <v>10533760.710000001</v>
      </c>
      <c r="S1271" s="238">
        <f t="shared" si="1217"/>
        <v>0</v>
      </c>
      <c r="T1271" s="238">
        <f t="shared" si="1217"/>
        <v>0</v>
      </c>
      <c r="U1271" s="238">
        <f t="shared" si="1217"/>
        <v>0</v>
      </c>
      <c r="V1271" s="238">
        <f t="shared" si="1215"/>
        <v>10427624</v>
      </c>
      <c r="W1271" s="238">
        <f t="shared" si="1215"/>
        <v>10550386.109999999</v>
      </c>
      <c r="X1271" s="238">
        <f t="shared" si="1215"/>
        <v>10533760.710000001</v>
      </c>
    </row>
    <row r="1272" spans="1:24" s="229" customFormat="1" ht="38.25" hidden="1">
      <c r="A1272" s="239" t="s">
        <v>96</v>
      </c>
      <c r="B1272" s="227" t="s">
        <v>402</v>
      </c>
      <c r="C1272" s="227" t="s">
        <v>20</v>
      </c>
      <c r="D1272" s="227" t="s">
        <v>16</v>
      </c>
      <c r="E1272" s="227" t="s">
        <v>82</v>
      </c>
      <c r="F1272" s="227" t="s">
        <v>70</v>
      </c>
      <c r="G1272" s="227" t="s">
        <v>148</v>
      </c>
      <c r="H1272" s="227" t="s">
        <v>158</v>
      </c>
      <c r="I1272" s="237" t="s">
        <v>92</v>
      </c>
      <c r="J1272" s="238"/>
      <c r="K1272" s="238"/>
      <c r="L1272" s="238"/>
      <c r="M1272" s="238"/>
      <c r="N1272" s="238"/>
      <c r="O1272" s="238"/>
      <c r="P1272" s="238">
        <f>P1273</f>
        <v>9287558</v>
      </c>
      <c r="Q1272" s="238">
        <f t="shared" ref="Q1272:U1272" si="1218">Q1273</f>
        <v>9377964.2699999996</v>
      </c>
      <c r="R1272" s="238">
        <f t="shared" si="1218"/>
        <v>9384275.8000000007</v>
      </c>
      <c r="S1272" s="238">
        <f t="shared" si="1218"/>
        <v>0</v>
      </c>
      <c r="T1272" s="238">
        <f t="shared" si="1218"/>
        <v>0</v>
      </c>
      <c r="U1272" s="238">
        <f t="shared" si="1218"/>
        <v>0</v>
      </c>
      <c r="V1272" s="238">
        <f t="shared" si="1215"/>
        <v>9287558</v>
      </c>
      <c r="W1272" s="238">
        <f t="shared" si="1215"/>
        <v>9377964.2699999996</v>
      </c>
      <c r="X1272" s="238">
        <f t="shared" si="1215"/>
        <v>9384275.8000000007</v>
      </c>
    </row>
    <row r="1273" spans="1:24" s="229" customFormat="1" hidden="1">
      <c r="A1273" s="239" t="s">
        <v>103</v>
      </c>
      <c r="B1273" s="227" t="s">
        <v>402</v>
      </c>
      <c r="C1273" s="227" t="s">
        <v>20</v>
      </c>
      <c r="D1273" s="227" t="s">
        <v>16</v>
      </c>
      <c r="E1273" s="227" t="s">
        <v>82</v>
      </c>
      <c r="F1273" s="227" t="s">
        <v>70</v>
      </c>
      <c r="G1273" s="227" t="s">
        <v>148</v>
      </c>
      <c r="H1273" s="227" t="s">
        <v>158</v>
      </c>
      <c r="I1273" s="237" t="s">
        <v>102</v>
      </c>
      <c r="J1273" s="238"/>
      <c r="K1273" s="238"/>
      <c r="L1273" s="238"/>
      <c r="M1273" s="238"/>
      <c r="N1273" s="238"/>
      <c r="O1273" s="238"/>
      <c r="P1273" s="238">
        <f>6943738+246811+2097009</f>
        <v>9287558</v>
      </c>
      <c r="Q1273" s="238">
        <f>7087530+150000+2140434.27</f>
        <v>9377964.2699999996</v>
      </c>
      <c r="R1273" s="238">
        <f>7083307+161811+2139157.8</f>
        <v>9384275.8000000007</v>
      </c>
      <c r="S1273" s="238"/>
      <c r="T1273" s="238"/>
      <c r="U1273" s="238"/>
      <c r="V1273" s="238">
        <f t="shared" si="1215"/>
        <v>9287558</v>
      </c>
      <c r="W1273" s="238">
        <f t="shared" si="1215"/>
        <v>9377964.2699999996</v>
      </c>
      <c r="X1273" s="238">
        <f t="shared" si="1215"/>
        <v>9384275.8000000007</v>
      </c>
    </row>
    <row r="1274" spans="1:24" s="229" customFormat="1" ht="25.5" hidden="1">
      <c r="A1274" s="240" t="s">
        <v>260</v>
      </c>
      <c r="B1274" s="227" t="s">
        <v>402</v>
      </c>
      <c r="C1274" s="227" t="s">
        <v>20</v>
      </c>
      <c r="D1274" s="227" t="s">
        <v>16</v>
      </c>
      <c r="E1274" s="227" t="s">
        <v>82</v>
      </c>
      <c r="F1274" s="227" t="s">
        <v>70</v>
      </c>
      <c r="G1274" s="227" t="s">
        <v>148</v>
      </c>
      <c r="H1274" s="227" t="s">
        <v>158</v>
      </c>
      <c r="I1274" s="237" t="s">
        <v>94</v>
      </c>
      <c r="J1274" s="238"/>
      <c r="K1274" s="238"/>
      <c r="L1274" s="238"/>
      <c r="M1274" s="238"/>
      <c r="N1274" s="238"/>
      <c r="O1274" s="238"/>
      <c r="P1274" s="238">
        <f>P1275</f>
        <v>1098266</v>
      </c>
      <c r="Q1274" s="238">
        <f t="shared" ref="Q1274:U1274" si="1219">Q1275</f>
        <v>1130621.8399999999</v>
      </c>
      <c r="R1274" s="238">
        <f t="shared" si="1219"/>
        <v>1107684.9100000001</v>
      </c>
      <c r="S1274" s="238">
        <f t="shared" si="1219"/>
        <v>0</v>
      </c>
      <c r="T1274" s="238">
        <f t="shared" si="1219"/>
        <v>0</v>
      </c>
      <c r="U1274" s="238">
        <f t="shared" si="1219"/>
        <v>0</v>
      </c>
      <c r="V1274" s="238">
        <f t="shared" si="1215"/>
        <v>1098266</v>
      </c>
      <c r="W1274" s="238">
        <f t="shared" si="1215"/>
        <v>1130621.8399999999</v>
      </c>
      <c r="X1274" s="238">
        <f t="shared" si="1215"/>
        <v>1107684.9100000001</v>
      </c>
    </row>
    <row r="1275" spans="1:24" s="229" customFormat="1" ht="25.5" hidden="1">
      <c r="A1275" s="239" t="s">
        <v>98</v>
      </c>
      <c r="B1275" s="227" t="s">
        <v>402</v>
      </c>
      <c r="C1275" s="227" t="s">
        <v>20</v>
      </c>
      <c r="D1275" s="227" t="s">
        <v>16</v>
      </c>
      <c r="E1275" s="227" t="s">
        <v>82</v>
      </c>
      <c r="F1275" s="227" t="s">
        <v>70</v>
      </c>
      <c r="G1275" s="227" t="s">
        <v>148</v>
      </c>
      <c r="H1275" s="227" t="s">
        <v>158</v>
      </c>
      <c r="I1275" s="237" t="s">
        <v>95</v>
      </c>
      <c r="J1275" s="238"/>
      <c r="K1275" s="238"/>
      <c r="L1275" s="238"/>
      <c r="M1275" s="238"/>
      <c r="N1275" s="238"/>
      <c r="O1275" s="238"/>
      <c r="P1275" s="238">
        <f>289370+808896</f>
        <v>1098266</v>
      </c>
      <c r="Q1275" s="238">
        <f>300000+830621.84</f>
        <v>1130621.8399999999</v>
      </c>
      <c r="R1275" s="238">
        <f>232783+874901.91</f>
        <v>1107684.9100000001</v>
      </c>
      <c r="S1275" s="238"/>
      <c r="T1275" s="238"/>
      <c r="U1275" s="238"/>
      <c r="V1275" s="238">
        <f t="shared" si="1215"/>
        <v>1098266</v>
      </c>
      <c r="W1275" s="238">
        <f t="shared" si="1215"/>
        <v>1130621.8399999999</v>
      </c>
      <c r="X1275" s="238">
        <f t="shared" si="1215"/>
        <v>1107684.9100000001</v>
      </c>
    </row>
    <row r="1276" spans="1:24" s="229" customFormat="1" hidden="1">
      <c r="A1276" s="239" t="s">
        <v>80</v>
      </c>
      <c r="B1276" s="227" t="s">
        <v>402</v>
      </c>
      <c r="C1276" s="227" t="s">
        <v>20</v>
      </c>
      <c r="D1276" s="227" t="s">
        <v>16</v>
      </c>
      <c r="E1276" s="227" t="s">
        <v>82</v>
      </c>
      <c r="F1276" s="227" t="s">
        <v>70</v>
      </c>
      <c r="G1276" s="227" t="s">
        <v>148</v>
      </c>
      <c r="H1276" s="227" t="s">
        <v>158</v>
      </c>
      <c r="I1276" s="237" t="s">
        <v>77</v>
      </c>
      <c r="J1276" s="238"/>
      <c r="K1276" s="238"/>
      <c r="L1276" s="238"/>
      <c r="M1276" s="238"/>
      <c r="N1276" s="238"/>
      <c r="O1276" s="238"/>
      <c r="P1276" s="238">
        <f>P1277</f>
        <v>41800</v>
      </c>
      <c r="Q1276" s="238">
        <f t="shared" ref="Q1276:U1276" si="1220">Q1277</f>
        <v>41800</v>
      </c>
      <c r="R1276" s="238">
        <f t="shared" si="1220"/>
        <v>41800</v>
      </c>
      <c r="S1276" s="238">
        <f t="shared" si="1220"/>
        <v>0</v>
      </c>
      <c r="T1276" s="238">
        <f t="shared" si="1220"/>
        <v>0</v>
      </c>
      <c r="U1276" s="238">
        <f t="shared" si="1220"/>
        <v>0</v>
      </c>
      <c r="V1276" s="238">
        <f t="shared" si="1215"/>
        <v>41800</v>
      </c>
      <c r="W1276" s="238">
        <f t="shared" si="1215"/>
        <v>41800</v>
      </c>
      <c r="X1276" s="238">
        <f t="shared" si="1215"/>
        <v>41800</v>
      </c>
    </row>
    <row r="1277" spans="1:24" s="229" customFormat="1" hidden="1">
      <c r="A1277" s="241" t="s">
        <v>125</v>
      </c>
      <c r="B1277" s="227" t="s">
        <v>402</v>
      </c>
      <c r="C1277" s="227" t="s">
        <v>20</v>
      </c>
      <c r="D1277" s="227" t="s">
        <v>16</v>
      </c>
      <c r="E1277" s="227" t="s">
        <v>82</v>
      </c>
      <c r="F1277" s="227" t="s">
        <v>70</v>
      </c>
      <c r="G1277" s="227" t="s">
        <v>148</v>
      </c>
      <c r="H1277" s="227" t="s">
        <v>158</v>
      </c>
      <c r="I1277" s="237" t="s">
        <v>124</v>
      </c>
      <c r="J1277" s="238"/>
      <c r="K1277" s="238"/>
      <c r="L1277" s="238"/>
      <c r="M1277" s="238"/>
      <c r="N1277" s="238"/>
      <c r="O1277" s="238"/>
      <c r="P1277" s="238">
        <f>22800+16000+3000</f>
        <v>41800</v>
      </c>
      <c r="Q1277" s="238">
        <f>22800+16000+3000</f>
        <v>41800</v>
      </c>
      <c r="R1277" s="238">
        <v>41800</v>
      </c>
      <c r="S1277" s="238"/>
      <c r="T1277" s="238"/>
      <c r="U1277" s="238"/>
      <c r="V1277" s="238">
        <f t="shared" si="1215"/>
        <v>41800</v>
      </c>
      <c r="W1277" s="238">
        <f t="shared" si="1215"/>
        <v>41800</v>
      </c>
      <c r="X1277" s="238">
        <f t="shared" si="1215"/>
        <v>41800</v>
      </c>
    </row>
    <row r="1278" spans="1:24" s="229" customFormat="1" hidden="1">
      <c r="A1278" s="230" t="s">
        <v>1</v>
      </c>
      <c r="B1278" s="231" t="s">
        <v>402</v>
      </c>
      <c r="C1278" s="231" t="s">
        <v>20</v>
      </c>
      <c r="D1278" s="231" t="s">
        <v>49</v>
      </c>
      <c r="E1278" s="231"/>
      <c r="F1278" s="231"/>
      <c r="G1278" s="231"/>
      <c r="H1278" s="227"/>
      <c r="I1278" s="237"/>
      <c r="J1278" s="234"/>
      <c r="K1278" s="234"/>
      <c r="L1278" s="234"/>
      <c r="M1278" s="234"/>
      <c r="N1278" s="234"/>
      <c r="O1278" s="234"/>
      <c r="P1278" s="234">
        <f>P1279+P1284</f>
        <v>497512.55</v>
      </c>
      <c r="Q1278" s="234">
        <f t="shared" ref="Q1278:U1278" si="1221">Q1279+Q1284</f>
        <v>0</v>
      </c>
      <c r="R1278" s="234">
        <f t="shared" si="1221"/>
        <v>0</v>
      </c>
      <c r="S1278" s="234">
        <f t="shared" si="1221"/>
        <v>13327.15</v>
      </c>
      <c r="T1278" s="234">
        <f t="shared" si="1221"/>
        <v>0</v>
      </c>
      <c r="U1278" s="234">
        <f t="shared" si="1221"/>
        <v>0</v>
      </c>
      <c r="V1278" s="234">
        <f t="shared" si="1215"/>
        <v>510839.7</v>
      </c>
      <c r="W1278" s="234">
        <f t="shared" si="1215"/>
        <v>0</v>
      </c>
      <c r="X1278" s="234">
        <f t="shared" si="1215"/>
        <v>0</v>
      </c>
    </row>
    <row r="1279" spans="1:24" s="229" customFormat="1" ht="38.25" hidden="1">
      <c r="A1279" s="241" t="s">
        <v>294</v>
      </c>
      <c r="B1279" s="247" t="s">
        <v>402</v>
      </c>
      <c r="C1279" s="247" t="s">
        <v>20</v>
      </c>
      <c r="D1279" s="247" t="s">
        <v>49</v>
      </c>
      <c r="E1279" s="227" t="s">
        <v>19</v>
      </c>
      <c r="F1279" s="227" t="s">
        <v>70</v>
      </c>
      <c r="G1279" s="227" t="s">
        <v>148</v>
      </c>
      <c r="H1279" s="247" t="s">
        <v>149</v>
      </c>
      <c r="I1279" s="248"/>
      <c r="J1279" s="238"/>
      <c r="K1279" s="238"/>
      <c r="L1279" s="238"/>
      <c r="M1279" s="238"/>
      <c r="N1279" s="238"/>
      <c r="O1279" s="238"/>
      <c r="P1279" s="238">
        <f>P1280</f>
        <v>60712.55</v>
      </c>
      <c r="Q1279" s="238">
        <f t="shared" ref="Q1279:U1282" si="1222">Q1280</f>
        <v>0</v>
      </c>
      <c r="R1279" s="238">
        <f t="shared" si="1222"/>
        <v>0</v>
      </c>
      <c r="S1279" s="238">
        <f t="shared" si="1222"/>
        <v>13327.15</v>
      </c>
      <c r="T1279" s="238">
        <f t="shared" si="1222"/>
        <v>0</v>
      </c>
      <c r="U1279" s="238">
        <f t="shared" si="1222"/>
        <v>0</v>
      </c>
      <c r="V1279" s="238">
        <f t="shared" si="1215"/>
        <v>74039.7</v>
      </c>
      <c r="W1279" s="238">
        <f t="shared" si="1215"/>
        <v>0</v>
      </c>
      <c r="X1279" s="238">
        <f t="shared" si="1215"/>
        <v>0</v>
      </c>
    </row>
    <row r="1280" spans="1:24" s="229" customFormat="1" ht="25.5" hidden="1">
      <c r="A1280" s="241" t="s">
        <v>296</v>
      </c>
      <c r="B1280" s="247" t="s">
        <v>402</v>
      </c>
      <c r="C1280" s="247" t="s">
        <v>20</v>
      </c>
      <c r="D1280" s="247" t="s">
        <v>49</v>
      </c>
      <c r="E1280" s="227" t="s">
        <v>19</v>
      </c>
      <c r="F1280" s="227" t="s">
        <v>127</v>
      </c>
      <c r="G1280" s="227" t="s">
        <v>148</v>
      </c>
      <c r="H1280" s="247" t="s">
        <v>149</v>
      </c>
      <c r="I1280" s="248"/>
      <c r="J1280" s="238"/>
      <c r="K1280" s="238"/>
      <c r="L1280" s="238"/>
      <c r="M1280" s="238"/>
      <c r="N1280" s="238"/>
      <c r="O1280" s="238"/>
      <c r="P1280" s="238">
        <f>P1281</f>
        <v>60712.55</v>
      </c>
      <c r="Q1280" s="238">
        <f t="shared" si="1222"/>
        <v>0</v>
      </c>
      <c r="R1280" s="238">
        <f t="shared" si="1222"/>
        <v>0</v>
      </c>
      <c r="S1280" s="238">
        <f t="shared" si="1222"/>
        <v>13327.15</v>
      </c>
      <c r="T1280" s="238">
        <f t="shared" si="1222"/>
        <v>0</v>
      </c>
      <c r="U1280" s="238">
        <f t="shared" si="1222"/>
        <v>0</v>
      </c>
      <c r="V1280" s="238">
        <f t="shared" si="1215"/>
        <v>74039.7</v>
      </c>
      <c r="W1280" s="238">
        <f t="shared" si="1215"/>
        <v>0</v>
      </c>
      <c r="X1280" s="238">
        <f t="shared" si="1215"/>
        <v>0</v>
      </c>
    </row>
    <row r="1281" spans="1:24" s="229" customFormat="1" ht="51" hidden="1">
      <c r="A1281" s="241" t="s">
        <v>299</v>
      </c>
      <c r="B1281" s="247" t="s">
        <v>402</v>
      </c>
      <c r="C1281" s="247" t="s">
        <v>20</v>
      </c>
      <c r="D1281" s="247" t="s">
        <v>49</v>
      </c>
      <c r="E1281" s="227" t="s">
        <v>19</v>
      </c>
      <c r="F1281" s="227" t="s">
        <v>127</v>
      </c>
      <c r="G1281" s="227" t="s">
        <v>148</v>
      </c>
      <c r="H1281" s="247" t="s">
        <v>298</v>
      </c>
      <c r="I1281" s="248"/>
      <c r="J1281" s="238"/>
      <c r="K1281" s="238"/>
      <c r="L1281" s="238"/>
      <c r="M1281" s="238"/>
      <c r="N1281" s="238"/>
      <c r="O1281" s="238"/>
      <c r="P1281" s="238">
        <f>P1282</f>
        <v>60712.55</v>
      </c>
      <c r="Q1281" s="238">
        <f t="shared" si="1222"/>
        <v>0</v>
      </c>
      <c r="R1281" s="238">
        <f t="shared" si="1222"/>
        <v>0</v>
      </c>
      <c r="S1281" s="238">
        <f t="shared" si="1222"/>
        <v>13327.15</v>
      </c>
      <c r="T1281" s="238">
        <f t="shared" si="1222"/>
        <v>0</v>
      </c>
      <c r="U1281" s="238">
        <f t="shared" si="1222"/>
        <v>0</v>
      </c>
      <c r="V1281" s="238">
        <f t="shared" si="1215"/>
        <v>74039.7</v>
      </c>
      <c r="W1281" s="238">
        <f t="shared" si="1215"/>
        <v>0</v>
      </c>
      <c r="X1281" s="238">
        <f t="shared" si="1215"/>
        <v>0</v>
      </c>
    </row>
    <row r="1282" spans="1:24" s="229" customFormat="1" hidden="1">
      <c r="A1282" s="235" t="s">
        <v>100</v>
      </c>
      <c r="B1282" s="247" t="s">
        <v>402</v>
      </c>
      <c r="C1282" s="247" t="s">
        <v>20</v>
      </c>
      <c r="D1282" s="247" t="s">
        <v>49</v>
      </c>
      <c r="E1282" s="227" t="s">
        <v>19</v>
      </c>
      <c r="F1282" s="227" t="s">
        <v>127</v>
      </c>
      <c r="G1282" s="227" t="s">
        <v>148</v>
      </c>
      <c r="H1282" s="247" t="s">
        <v>298</v>
      </c>
      <c r="I1282" s="248" t="s">
        <v>99</v>
      </c>
      <c r="J1282" s="238"/>
      <c r="K1282" s="238"/>
      <c r="L1282" s="238"/>
      <c r="M1282" s="238"/>
      <c r="N1282" s="238"/>
      <c r="O1282" s="238"/>
      <c r="P1282" s="238">
        <f>P1283</f>
        <v>60712.55</v>
      </c>
      <c r="Q1282" s="238">
        <f t="shared" si="1222"/>
        <v>0</v>
      </c>
      <c r="R1282" s="238">
        <f t="shared" si="1222"/>
        <v>0</v>
      </c>
      <c r="S1282" s="238">
        <f t="shared" si="1222"/>
        <v>13327.15</v>
      </c>
      <c r="T1282" s="238">
        <f t="shared" si="1222"/>
        <v>0</v>
      </c>
      <c r="U1282" s="238">
        <f t="shared" si="1222"/>
        <v>0</v>
      </c>
      <c r="V1282" s="238">
        <f t="shared" si="1215"/>
        <v>74039.7</v>
      </c>
      <c r="W1282" s="238">
        <f t="shared" si="1215"/>
        <v>0</v>
      </c>
      <c r="X1282" s="238">
        <f t="shared" si="1215"/>
        <v>0</v>
      </c>
    </row>
    <row r="1283" spans="1:24" s="229" customFormat="1" ht="25.5" hidden="1">
      <c r="A1283" s="235" t="s">
        <v>106</v>
      </c>
      <c r="B1283" s="247" t="s">
        <v>402</v>
      </c>
      <c r="C1283" s="247" t="s">
        <v>20</v>
      </c>
      <c r="D1283" s="247" t="s">
        <v>49</v>
      </c>
      <c r="E1283" s="227" t="s">
        <v>19</v>
      </c>
      <c r="F1283" s="227" t="s">
        <v>127</v>
      </c>
      <c r="G1283" s="227" t="s">
        <v>148</v>
      </c>
      <c r="H1283" s="247" t="s">
        <v>298</v>
      </c>
      <c r="I1283" s="248" t="s">
        <v>107</v>
      </c>
      <c r="J1283" s="238"/>
      <c r="K1283" s="238"/>
      <c r="L1283" s="238"/>
      <c r="M1283" s="238"/>
      <c r="N1283" s="238"/>
      <c r="O1283" s="238"/>
      <c r="P1283" s="238">
        <v>60712.55</v>
      </c>
      <c r="Q1283" s="238">
        <f t="shared" ref="Q1283:R1283" si="1223">K1283+N1283</f>
        <v>0</v>
      </c>
      <c r="R1283" s="238">
        <f t="shared" si="1223"/>
        <v>0</v>
      </c>
      <c r="S1283" s="238">
        <v>13327.15</v>
      </c>
      <c r="T1283" s="238"/>
      <c r="U1283" s="238"/>
      <c r="V1283" s="238">
        <f t="shared" si="1215"/>
        <v>74039.7</v>
      </c>
      <c r="W1283" s="238">
        <f t="shared" si="1215"/>
        <v>0</v>
      </c>
      <c r="X1283" s="238">
        <f t="shared" si="1215"/>
        <v>0</v>
      </c>
    </row>
    <row r="1284" spans="1:24" s="229" customFormat="1" hidden="1">
      <c r="A1284" s="235" t="s">
        <v>83</v>
      </c>
      <c r="B1284" s="247"/>
      <c r="C1284" s="247" t="s">
        <v>20</v>
      </c>
      <c r="D1284" s="247" t="s">
        <v>49</v>
      </c>
      <c r="E1284" s="227" t="s">
        <v>82</v>
      </c>
      <c r="F1284" s="227" t="s">
        <v>70</v>
      </c>
      <c r="G1284" s="227" t="s">
        <v>148</v>
      </c>
      <c r="H1284" s="247" t="s">
        <v>149</v>
      </c>
      <c r="I1284" s="248"/>
      <c r="J1284" s="238"/>
      <c r="K1284" s="238"/>
      <c r="L1284" s="238"/>
      <c r="M1284" s="238"/>
      <c r="N1284" s="238"/>
      <c r="O1284" s="238"/>
      <c r="P1284" s="238">
        <f>P1285</f>
        <v>436800</v>
      </c>
      <c r="Q1284" s="238">
        <f t="shared" ref="Q1284:U1286" si="1224">Q1285</f>
        <v>0</v>
      </c>
      <c r="R1284" s="238">
        <f t="shared" si="1224"/>
        <v>0</v>
      </c>
      <c r="S1284" s="238">
        <f t="shared" si="1224"/>
        <v>0</v>
      </c>
      <c r="T1284" s="238">
        <f t="shared" si="1224"/>
        <v>0</v>
      </c>
      <c r="U1284" s="238">
        <f t="shared" si="1224"/>
        <v>0</v>
      </c>
      <c r="V1284" s="238">
        <f t="shared" ref="V1284:X1299" si="1225">P1284+S1284</f>
        <v>436800</v>
      </c>
      <c r="W1284" s="238">
        <f t="shared" si="1225"/>
        <v>0</v>
      </c>
      <c r="X1284" s="238">
        <f t="shared" si="1225"/>
        <v>0</v>
      </c>
    </row>
    <row r="1285" spans="1:24" s="229" customFormat="1" ht="51" hidden="1">
      <c r="A1285" s="241" t="s">
        <v>307</v>
      </c>
      <c r="B1285" s="247" t="s">
        <v>402</v>
      </c>
      <c r="C1285" s="247" t="s">
        <v>20</v>
      </c>
      <c r="D1285" s="247" t="s">
        <v>49</v>
      </c>
      <c r="E1285" s="227" t="s">
        <v>82</v>
      </c>
      <c r="F1285" s="227" t="s">
        <v>70</v>
      </c>
      <c r="G1285" s="227" t="s">
        <v>148</v>
      </c>
      <c r="H1285" s="247" t="s">
        <v>306</v>
      </c>
      <c r="I1285" s="248"/>
      <c r="J1285" s="238"/>
      <c r="K1285" s="238"/>
      <c r="L1285" s="238"/>
      <c r="M1285" s="238"/>
      <c r="N1285" s="238"/>
      <c r="O1285" s="238"/>
      <c r="P1285" s="238">
        <f>P1286</f>
        <v>436800</v>
      </c>
      <c r="Q1285" s="238">
        <f t="shared" si="1224"/>
        <v>0</v>
      </c>
      <c r="R1285" s="238">
        <f t="shared" si="1224"/>
        <v>0</v>
      </c>
      <c r="S1285" s="238">
        <f t="shared" si="1224"/>
        <v>0</v>
      </c>
      <c r="T1285" s="238">
        <f t="shared" si="1224"/>
        <v>0</v>
      </c>
      <c r="U1285" s="238">
        <f t="shared" si="1224"/>
        <v>0</v>
      </c>
      <c r="V1285" s="238">
        <f t="shared" si="1225"/>
        <v>436800</v>
      </c>
      <c r="W1285" s="238">
        <f t="shared" si="1225"/>
        <v>0</v>
      </c>
      <c r="X1285" s="238">
        <f t="shared" si="1225"/>
        <v>0</v>
      </c>
    </row>
    <row r="1286" spans="1:24" s="229" customFormat="1" hidden="1">
      <c r="A1286" s="235" t="s">
        <v>100</v>
      </c>
      <c r="B1286" s="247" t="s">
        <v>402</v>
      </c>
      <c r="C1286" s="247" t="s">
        <v>20</v>
      </c>
      <c r="D1286" s="247" t="s">
        <v>49</v>
      </c>
      <c r="E1286" s="227" t="s">
        <v>82</v>
      </c>
      <c r="F1286" s="227" t="s">
        <v>70</v>
      </c>
      <c r="G1286" s="227" t="s">
        <v>148</v>
      </c>
      <c r="H1286" s="247" t="s">
        <v>306</v>
      </c>
      <c r="I1286" s="248" t="s">
        <v>99</v>
      </c>
      <c r="J1286" s="238"/>
      <c r="K1286" s="238"/>
      <c r="L1286" s="238"/>
      <c r="M1286" s="238"/>
      <c r="N1286" s="238"/>
      <c r="O1286" s="238"/>
      <c r="P1286" s="238">
        <f>P1287</f>
        <v>436800</v>
      </c>
      <c r="Q1286" s="238">
        <f t="shared" si="1224"/>
        <v>0</v>
      </c>
      <c r="R1286" s="238">
        <f t="shared" si="1224"/>
        <v>0</v>
      </c>
      <c r="S1286" s="238">
        <f t="shared" si="1224"/>
        <v>0</v>
      </c>
      <c r="T1286" s="238">
        <f t="shared" si="1224"/>
        <v>0</v>
      </c>
      <c r="U1286" s="238">
        <f t="shared" si="1224"/>
        <v>0</v>
      </c>
      <c r="V1286" s="238">
        <f t="shared" si="1225"/>
        <v>436800</v>
      </c>
      <c r="W1286" s="238">
        <f t="shared" si="1225"/>
        <v>0</v>
      </c>
      <c r="X1286" s="238">
        <f t="shared" si="1225"/>
        <v>0</v>
      </c>
    </row>
    <row r="1287" spans="1:24" s="229" customFormat="1" ht="25.5" hidden="1">
      <c r="A1287" s="235" t="s">
        <v>106</v>
      </c>
      <c r="B1287" s="247" t="s">
        <v>402</v>
      </c>
      <c r="C1287" s="247" t="s">
        <v>20</v>
      </c>
      <c r="D1287" s="247" t="s">
        <v>49</v>
      </c>
      <c r="E1287" s="227" t="s">
        <v>82</v>
      </c>
      <c r="F1287" s="227" t="s">
        <v>70</v>
      </c>
      <c r="G1287" s="227" t="s">
        <v>148</v>
      </c>
      <c r="H1287" s="247" t="s">
        <v>306</v>
      </c>
      <c r="I1287" s="248" t="s">
        <v>107</v>
      </c>
      <c r="J1287" s="238"/>
      <c r="K1287" s="238"/>
      <c r="L1287" s="238"/>
      <c r="M1287" s="238"/>
      <c r="N1287" s="238"/>
      <c r="O1287" s="238"/>
      <c r="P1287" s="238">
        <v>436800</v>
      </c>
      <c r="Q1287" s="238">
        <f t="shared" ref="Q1287:R1287" si="1226">K1287+N1287</f>
        <v>0</v>
      </c>
      <c r="R1287" s="238">
        <f t="shared" si="1226"/>
        <v>0</v>
      </c>
      <c r="S1287" s="238"/>
      <c r="T1287" s="238"/>
      <c r="U1287" s="238"/>
      <c r="V1287" s="238">
        <f t="shared" si="1225"/>
        <v>436800</v>
      </c>
      <c r="W1287" s="238">
        <f t="shared" si="1225"/>
        <v>0</v>
      </c>
      <c r="X1287" s="238">
        <f t="shared" si="1225"/>
        <v>0</v>
      </c>
    </row>
    <row r="1288" spans="1:24" s="229" customFormat="1" ht="15.75" hidden="1">
      <c r="A1288" s="249" t="s">
        <v>54</v>
      </c>
      <c r="B1288" s="226" t="s">
        <v>402</v>
      </c>
      <c r="C1288" s="226" t="s">
        <v>17</v>
      </c>
      <c r="D1288" s="227"/>
      <c r="E1288" s="227"/>
      <c r="F1288" s="227"/>
      <c r="G1288" s="227"/>
      <c r="H1288" s="227"/>
      <c r="I1288" s="237"/>
      <c r="J1288" s="228"/>
      <c r="K1288" s="228"/>
      <c r="L1288" s="228"/>
      <c r="M1288" s="228"/>
      <c r="N1288" s="228"/>
      <c r="O1288" s="228"/>
      <c r="P1288" s="228">
        <f>P1289</f>
        <v>63322.720000000001</v>
      </c>
      <c r="Q1288" s="228">
        <f t="shared" ref="Q1288:U1290" si="1227">Q1289</f>
        <v>0</v>
      </c>
      <c r="R1288" s="228">
        <f t="shared" si="1227"/>
        <v>0</v>
      </c>
      <c r="S1288" s="228">
        <f t="shared" si="1227"/>
        <v>0</v>
      </c>
      <c r="T1288" s="228">
        <f t="shared" si="1227"/>
        <v>0</v>
      </c>
      <c r="U1288" s="228">
        <f t="shared" si="1227"/>
        <v>0</v>
      </c>
      <c r="V1288" s="228">
        <f t="shared" si="1225"/>
        <v>63322.720000000001</v>
      </c>
      <c r="W1288" s="228">
        <f t="shared" si="1225"/>
        <v>0</v>
      </c>
      <c r="X1288" s="228">
        <f t="shared" si="1225"/>
        <v>0</v>
      </c>
    </row>
    <row r="1289" spans="1:24" s="229" customFormat="1" hidden="1">
      <c r="A1289" s="250" t="s">
        <v>55</v>
      </c>
      <c r="B1289" s="232" t="s">
        <v>402</v>
      </c>
      <c r="C1289" s="232" t="s">
        <v>17</v>
      </c>
      <c r="D1289" s="232" t="s">
        <v>13</v>
      </c>
      <c r="E1289" s="232"/>
      <c r="F1289" s="232"/>
      <c r="G1289" s="232"/>
      <c r="H1289" s="232"/>
      <c r="I1289" s="233"/>
      <c r="J1289" s="234"/>
      <c r="K1289" s="234"/>
      <c r="L1289" s="234"/>
      <c r="M1289" s="234"/>
      <c r="N1289" s="234"/>
      <c r="O1289" s="234"/>
      <c r="P1289" s="234">
        <f>P1290</f>
        <v>63322.720000000001</v>
      </c>
      <c r="Q1289" s="234">
        <f t="shared" si="1227"/>
        <v>0</v>
      </c>
      <c r="R1289" s="234">
        <f t="shared" si="1227"/>
        <v>0</v>
      </c>
      <c r="S1289" s="234">
        <f t="shared" si="1227"/>
        <v>0</v>
      </c>
      <c r="T1289" s="234">
        <f t="shared" si="1227"/>
        <v>0</v>
      </c>
      <c r="U1289" s="234">
        <f t="shared" si="1227"/>
        <v>0</v>
      </c>
      <c r="V1289" s="234">
        <f t="shared" si="1225"/>
        <v>63322.720000000001</v>
      </c>
      <c r="W1289" s="234">
        <f t="shared" si="1225"/>
        <v>0</v>
      </c>
      <c r="X1289" s="234">
        <f t="shared" si="1225"/>
        <v>0</v>
      </c>
    </row>
    <row r="1290" spans="1:24" s="229" customFormat="1" hidden="1">
      <c r="A1290" s="235" t="s">
        <v>83</v>
      </c>
      <c r="B1290" s="247" t="s">
        <v>402</v>
      </c>
      <c r="C1290" s="227" t="s">
        <v>17</v>
      </c>
      <c r="D1290" s="227" t="s">
        <v>13</v>
      </c>
      <c r="E1290" s="227" t="s">
        <v>82</v>
      </c>
      <c r="F1290" s="227" t="s">
        <v>70</v>
      </c>
      <c r="G1290" s="227" t="s">
        <v>148</v>
      </c>
      <c r="H1290" s="227" t="s">
        <v>149</v>
      </c>
      <c r="I1290" s="237"/>
      <c r="J1290" s="244"/>
      <c r="K1290" s="244"/>
      <c r="L1290" s="244"/>
      <c r="M1290" s="244"/>
      <c r="N1290" s="244"/>
      <c r="O1290" s="244"/>
      <c r="P1290" s="244">
        <f>P1291</f>
        <v>63322.720000000001</v>
      </c>
      <c r="Q1290" s="244">
        <f t="shared" si="1227"/>
        <v>0</v>
      </c>
      <c r="R1290" s="244">
        <f t="shared" si="1227"/>
        <v>0</v>
      </c>
      <c r="S1290" s="244">
        <f t="shared" si="1227"/>
        <v>0</v>
      </c>
      <c r="T1290" s="244">
        <f t="shared" si="1227"/>
        <v>0</v>
      </c>
      <c r="U1290" s="244">
        <f t="shared" si="1227"/>
        <v>0</v>
      </c>
      <c r="V1290" s="244">
        <f t="shared" si="1225"/>
        <v>63322.720000000001</v>
      </c>
      <c r="W1290" s="244">
        <f t="shared" si="1225"/>
        <v>0</v>
      </c>
      <c r="X1290" s="244">
        <f t="shared" si="1225"/>
        <v>0</v>
      </c>
    </row>
    <row r="1291" spans="1:24" s="229" customFormat="1" ht="25.5" hidden="1">
      <c r="A1291" s="235" t="s">
        <v>304</v>
      </c>
      <c r="B1291" s="247" t="s">
        <v>402</v>
      </c>
      <c r="C1291" s="227" t="s">
        <v>17</v>
      </c>
      <c r="D1291" s="227" t="s">
        <v>13</v>
      </c>
      <c r="E1291" s="227" t="s">
        <v>82</v>
      </c>
      <c r="F1291" s="227" t="s">
        <v>70</v>
      </c>
      <c r="G1291" s="227" t="s">
        <v>148</v>
      </c>
      <c r="H1291" s="227" t="s">
        <v>305</v>
      </c>
      <c r="I1291" s="237"/>
      <c r="J1291" s="244"/>
      <c r="K1291" s="244"/>
      <c r="L1291" s="244"/>
      <c r="M1291" s="244"/>
      <c r="N1291" s="244"/>
      <c r="O1291" s="244"/>
      <c r="P1291" s="244">
        <f>P1292+P1294</f>
        <v>63322.720000000001</v>
      </c>
      <c r="Q1291" s="244">
        <f t="shared" ref="Q1291:U1291" si="1228">Q1292+Q1294</f>
        <v>0</v>
      </c>
      <c r="R1291" s="244">
        <f t="shared" si="1228"/>
        <v>0</v>
      </c>
      <c r="S1291" s="244">
        <f t="shared" si="1228"/>
        <v>0</v>
      </c>
      <c r="T1291" s="244">
        <f t="shared" si="1228"/>
        <v>0</v>
      </c>
      <c r="U1291" s="244">
        <f t="shared" si="1228"/>
        <v>0</v>
      </c>
      <c r="V1291" s="244">
        <f t="shared" si="1225"/>
        <v>63322.720000000001</v>
      </c>
      <c r="W1291" s="244">
        <f t="shared" si="1225"/>
        <v>0</v>
      </c>
      <c r="X1291" s="244">
        <f t="shared" si="1225"/>
        <v>0</v>
      </c>
    </row>
    <row r="1292" spans="1:24" s="229" customFormat="1" ht="38.25" hidden="1">
      <c r="A1292" s="239" t="s">
        <v>96</v>
      </c>
      <c r="B1292" s="247" t="s">
        <v>402</v>
      </c>
      <c r="C1292" s="227" t="s">
        <v>17</v>
      </c>
      <c r="D1292" s="227" t="s">
        <v>13</v>
      </c>
      <c r="E1292" s="227" t="s">
        <v>82</v>
      </c>
      <c r="F1292" s="227" t="s">
        <v>70</v>
      </c>
      <c r="G1292" s="227" t="s">
        <v>148</v>
      </c>
      <c r="H1292" s="227" t="s">
        <v>305</v>
      </c>
      <c r="I1292" s="237" t="s">
        <v>92</v>
      </c>
      <c r="J1292" s="244"/>
      <c r="K1292" s="244"/>
      <c r="L1292" s="244"/>
      <c r="M1292" s="244"/>
      <c r="N1292" s="244"/>
      <c r="O1292" s="244"/>
      <c r="P1292" s="244">
        <f>P1293</f>
        <v>31248</v>
      </c>
      <c r="Q1292" s="244">
        <f t="shared" ref="Q1292:U1292" si="1229">Q1293</f>
        <v>0</v>
      </c>
      <c r="R1292" s="244">
        <f t="shared" si="1229"/>
        <v>0</v>
      </c>
      <c r="S1292" s="244">
        <f t="shared" si="1229"/>
        <v>0</v>
      </c>
      <c r="T1292" s="244">
        <f t="shared" si="1229"/>
        <v>0</v>
      </c>
      <c r="U1292" s="244">
        <f t="shared" si="1229"/>
        <v>0</v>
      </c>
      <c r="V1292" s="244">
        <f t="shared" si="1225"/>
        <v>31248</v>
      </c>
      <c r="W1292" s="244">
        <f t="shared" si="1225"/>
        <v>0</v>
      </c>
      <c r="X1292" s="244">
        <f t="shared" si="1225"/>
        <v>0</v>
      </c>
    </row>
    <row r="1293" spans="1:24" s="229" customFormat="1" hidden="1">
      <c r="A1293" s="239" t="s">
        <v>103</v>
      </c>
      <c r="B1293" s="247" t="s">
        <v>402</v>
      </c>
      <c r="C1293" s="227" t="s">
        <v>17</v>
      </c>
      <c r="D1293" s="227" t="s">
        <v>13</v>
      </c>
      <c r="E1293" s="227" t="s">
        <v>82</v>
      </c>
      <c r="F1293" s="227" t="s">
        <v>70</v>
      </c>
      <c r="G1293" s="227" t="s">
        <v>148</v>
      </c>
      <c r="H1293" s="227" t="s">
        <v>305</v>
      </c>
      <c r="I1293" s="237" t="s">
        <v>102</v>
      </c>
      <c r="J1293" s="244"/>
      <c r="K1293" s="244"/>
      <c r="L1293" s="244"/>
      <c r="M1293" s="244"/>
      <c r="N1293" s="244"/>
      <c r="O1293" s="244"/>
      <c r="P1293" s="244">
        <f>24000+7248</f>
        <v>31248</v>
      </c>
      <c r="Q1293" s="244"/>
      <c r="R1293" s="244"/>
      <c r="S1293" s="244"/>
      <c r="T1293" s="244"/>
      <c r="U1293" s="244"/>
      <c r="V1293" s="244">
        <f t="shared" si="1225"/>
        <v>31248</v>
      </c>
      <c r="W1293" s="244">
        <f t="shared" si="1225"/>
        <v>0</v>
      </c>
      <c r="X1293" s="244">
        <f t="shared" si="1225"/>
        <v>0</v>
      </c>
    </row>
    <row r="1294" spans="1:24" s="229" customFormat="1" ht="25.5" hidden="1">
      <c r="A1294" s="240" t="s">
        <v>260</v>
      </c>
      <c r="B1294" s="247" t="s">
        <v>402</v>
      </c>
      <c r="C1294" s="227" t="s">
        <v>17</v>
      </c>
      <c r="D1294" s="227" t="s">
        <v>13</v>
      </c>
      <c r="E1294" s="227" t="s">
        <v>82</v>
      </c>
      <c r="F1294" s="227" t="s">
        <v>70</v>
      </c>
      <c r="G1294" s="227" t="s">
        <v>148</v>
      </c>
      <c r="H1294" s="227" t="s">
        <v>305</v>
      </c>
      <c r="I1294" s="237" t="s">
        <v>94</v>
      </c>
      <c r="J1294" s="244"/>
      <c r="K1294" s="244"/>
      <c r="L1294" s="244"/>
      <c r="M1294" s="244"/>
      <c r="N1294" s="244"/>
      <c r="O1294" s="244"/>
      <c r="P1294" s="244">
        <f>P1295</f>
        <v>32074.720000000001</v>
      </c>
      <c r="Q1294" s="244">
        <f t="shared" ref="Q1294:U1294" si="1230">Q1295</f>
        <v>0</v>
      </c>
      <c r="R1294" s="244">
        <f t="shared" si="1230"/>
        <v>0</v>
      </c>
      <c r="S1294" s="244">
        <f t="shared" si="1230"/>
        <v>0</v>
      </c>
      <c r="T1294" s="244">
        <f t="shared" si="1230"/>
        <v>0</v>
      </c>
      <c r="U1294" s="244">
        <f t="shared" si="1230"/>
        <v>0</v>
      </c>
      <c r="V1294" s="244">
        <f t="shared" si="1225"/>
        <v>32074.720000000001</v>
      </c>
      <c r="W1294" s="244">
        <f t="shared" si="1225"/>
        <v>0</v>
      </c>
      <c r="X1294" s="244">
        <f t="shared" si="1225"/>
        <v>0</v>
      </c>
    </row>
    <row r="1295" spans="1:24" s="229" customFormat="1" ht="25.5" hidden="1">
      <c r="A1295" s="239" t="s">
        <v>98</v>
      </c>
      <c r="B1295" s="247" t="s">
        <v>402</v>
      </c>
      <c r="C1295" s="227" t="s">
        <v>17</v>
      </c>
      <c r="D1295" s="227" t="s">
        <v>13</v>
      </c>
      <c r="E1295" s="227" t="s">
        <v>82</v>
      </c>
      <c r="F1295" s="227" t="s">
        <v>70</v>
      </c>
      <c r="G1295" s="227" t="s">
        <v>148</v>
      </c>
      <c r="H1295" s="227" t="s">
        <v>305</v>
      </c>
      <c r="I1295" s="237" t="s">
        <v>95</v>
      </c>
      <c r="J1295" s="244"/>
      <c r="K1295" s="244"/>
      <c r="L1295" s="244"/>
      <c r="M1295" s="244"/>
      <c r="N1295" s="244"/>
      <c r="O1295" s="244"/>
      <c r="P1295" s="244">
        <v>32074.720000000001</v>
      </c>
      <c r="Q1295" s="244"/>
      <c r="R1295" s="244"/>
      <c r="S1295" s="244"/>
      <c r="T1295" s="244"/>
      <c r="U1295" s="244"/>
      <c r="V1295" s="244">
        <f t="shared" si="1225"/>
        <v>32074.720000000001</v>
      </c>
      <c r="W1295" s="244">
        <f t="shared" si="1225"/>
        <v>0</v>
      </c>
      <c r="X1295" s="244">
        <f t="shared" si="1225"/>
        <v>0</v>
      </c>
    </row>
    <row r="1296" spans="1:24" s="255" customFormat="1" ht="31.5" hidden="1">
      <c r="A1296" s="249" t="s">
        <v>26</v>
      </c>
      <c r="B1296" s="251" t="s">
        <v>402</v>
      </c>
      <c r="C1296" s="251" t="s">
        <v>13</v>
      </c>
      <c r="D1296" s="252"/>
      <c r="E1296" s="252"/>
      <c r="F1296" s="252"/>
      <c r="G1296" s="252"/>
      <c r="H1296" s="252"/>
      <c r="I1296" s="253"/>
      <c r="J1296" s="254"/>
      <c r="K1296" s="254"/>
      <c r="L1296" s="254"/>
      <c r="M1296" s="254"/>
      <c r="N1296" s="254"/>
      <c r="O1296" s="254"/>
      <c r="P1296" s="254">
        <f>P1297</f>
        <v>203628</v>
      </c>
      <c r="Q1296" s="254">
        <f t="shared" ref="Q1296:U1300" si="1231">Q1297</f>
        <v>132733.12</v>
      </c>
      <c r="R1296" s="254">
        <f t="shared" si="1231"/>
        <v>138042.44</v>
      </c>
      <c r="S1296" s="254">
        <f t="shared" si="1231"/>
        <v>0</v>
      </c>
      <c r="T1296" s="254">
        <f t="shared" si="1231"/>
        <v>0</v>
      </c>
      <c r="U1296" s="254">
        <f t="shared" si="1231"/>
        <v>0</v>
      </c>
      <c r="V1296" s="254">
        <f t="shared" si="1225"/>
        <v>203628</v>
      </c>
      <c r="W1296" s="254">
        <f t="shared" si="1225"/>
        <v>132733.12</v>
      </c>
      <c r="X1296" s="254">
        <f t="shared" si="1225"/>
        <v>138042.44</v>
      </c>
    </row>
    <row r="1297" spans="1:24" s="229" customFormat="1" ht="38.25" hidden="1">
      <c r="A1297" s="256" t="s">
        <v>230</v>
      </c>
      <c r="B1297" s="257" t="s">
        <v>402</v>
      </c>
      <c r="C1297" s="257" t="s">
        <v>13</v>
      </c>
      <c r="D1297" s="257" t="s">
        <v>30</v>
      </c>
      <c r="E1297" s="257"/>
      <c r="F1297" s="257"/>
      <c r="G1297" s="257"/>
      <c r="H1297" s="257"/>
      <c r="I1297" s="258"/>
      <c r="J1297" s="259"/>
      <c r="K1297" s="259"/>
      <c r="L1297" s="259"/>
      <c r="M1297" s="259"/>
      <c r="N1297" s="259"/>
      <c r="O1297" s="259"/>
      <c r="P1297" s="259">
        <f>P1298</f>
        <v>203628</v>
      </c>
      <c r="Q1297" s="259">
        <f t="shared" si="1231"/>
        <v>132733.12</v>
      </c>
      <c r="R1297" s="259">
        <f t="shared" si="1231"/>
        <v>138042.44</v>
      </c>
      <c r="S1297" s="259">
        <f t="shared" si="1231"/>
        <v>0</v>
      </c>
      <c r="T1297" s="259">
        <f t="shared" si="1231"/>
        <v>0</v>
      </c>
      <c r="U1297" s="259">
        <f t="shared" si="1231"/>
        <v>0</v>
      </c>
      <c r="V1297" s="259">
        <f t="shared" si="1225"/>
        <v>203628</v>
      </c>
      <c r="W1297" s="259">
        <f t="shared" si="1225"/>
        <v>132733.12</v>
      </c>
      <c r="X1297" s="259">
        <f t="shared" si="1225"/>
        <v>138042.44</v>
      </c>
    </row>
    <row r="1298" spans="1:24" s="229" customFormat="1" hidden="1">
      <c r="A1298" s="260" t="s">
        <v>290</v>
      </c>
      <c r="B1298" s="261" t="s">
        <v>402</v>
      </c>
      <c r="C1298" s="261" t="s">
        <v>13</v>
      </c>
      <c r="D1298" s="261" t="s">
        <v>30</v>
      </c>
      <c r="E1298" s="261" t="s">
        <v>214</v>
      </c>
      <c r="F1298" s="261" t="s">
        <v>70</v>
      </c>
      <c r="G1298" s="261" t="s">
        <v>148</v>
      </c>
      <c r="H1298" s="261" t="s">
        <v>149</v>
      </c>
      <c r="I1298" s="262"/>
      <c r="J1298" s="263"/>
      <c r="K1298" s="263"/>
      <c r="L1298" s="263"/>
      <c r="M1298" s="263"/>
      <c r="N1298" s="263"/>
      <c r="O1298" s="263"/>
      <c r="P1298" s="263">
        <f>P1299</f>
        <v>203628</v>
      </c>
      <c r="Q1298" s="263">
        <f t="shared" si="1231"/>
        <v>132733.12</v>
      </c>
      <c r="R1298" s="263">
        <f t="shared" si="1231"/>
        <v>138042.44</v>
      </c>
      <c r="S1298" s="263">
        <f t="shared" si="1231"/>
        <v>0</v>
      </c>
      <c r="T1298" s="263">
        <f t="shared" si="1231"/>
        <v>0</v>
      </c>
      <c r="U1298" s="263">
        <f t="shared" si="1231"/>
        <v>0</v>
      </c>
      <c r="V1298" s="263">
        <f t="shared" si="1225"/>
        <v>203628</v>
      </c>
      <c r="W1298" s="263">
        <f t="shared" si="1225"/>
        <v>132733.12</v>
      </c>
      <c r="X1298" s="263">
        <f t="shared" si="1225"/>
        <v>138042.44</v>
      </c>
    </row>
    <row r="1299" spans="1:24" s="229" customFormat="1" hidden="1">
      <c r="A1299" s="241" t="s">
        <v>336</v>
      </c>
      <c r="B1299" s="261" t="s">
        <v>402</v>
      </c>
      <c r="C1299" s="261" t="s">
        <v>13</v>
      </c>
      <c r="D1299" s="261" t="s">
        <v>30</v>
      </c>
      <c r="E1299" s="261" t="s">
        <v>214</v>
      </c>
      <c r="F1299" s="261" t="s">
        <v>70</v>
      </c>
      <c r="G1299" s="261" t="s">
        <v>148</v>
      </c>
      <c r="H1299" s="261" t="s">
        <v>335</v>
      </c>
      <c r="I1299" s="262"/>
      <c r="J1299" s="263"/>
      <c r="K1299" s="263"/>
      <c r="L1299" s="263"/>
      <c r="M1299" s="263"/>
      <c r="N1299" s="263"/>
      <c r="O1299" s="263"/>
      <c r="P1299" s="263">
        <f>P1300</f>
        <v>203628</v>
      </c>
      <c r="Q1299" s="263">
        <f t="shared" si="1231"/>
        <v>132733.12</v>
      </c>
      <c r="R1299" s="263">
        <f t="shared" si="1231"/>
        <v>138042.44</v>
      </c>
      <c r="S1299" s="263">
        <f t="shared" si="1231"/>
        <v>0</v>
      </c>
      <c r="T1299" s="263">
        <f t="shared" si="1231"/>
        <v>0</v>
      </c>
      <c r="U1299" s="263">
        <f t="shared" si="1231"/>
        <v>0</v>
      </c>
      <c r="V1299" s="263">
        <f t="shared" si="1225"/>
        <v>203628</v>
      </c>
      <c r="W1299" s="263">
        <f t="shared" si="1225"/>
        <v>132733.12</v>
      </c>
      <c r="X1299" s="263">
        <f t="shared" si="1225"/>
        <v>138042.44</v>
      </c>
    </row>
    <row r="1300" spans="1:24" s="229" customFormat="1" ht="25.5" hidden="1">
      <c r="A1300" s="240" t="s">
        <v>260</v>
      </c>
      <c r="B1300" s="261" t="s">
        <v>402</v>
      </c>
      <c r="C1300" s="261" t="s">
        <v>13</v>
      </c>
      <c r="D1300" s="261" t="s">
        <v>30</v>
      </c>
      <c r="E1300" s="261" t="s">
        <v>214</v>
      </c>
      <c r="F1300" s="261" t="s">
        <v>70</v>
      </c>
      <c r="G1300" s="261" t="s">
        <v>148</v>
      </c>
      <c r="H1300" s="261" t="s">
        <v>335</v>
      </c>
      <c r="I1300" s="262" t="s">
        <v>94</v>
      </c>
      <c r="J1300" s="263"/>
      <c r="K1300" s="263"/>
      <c r="L1300" s="263"/>
      <c r="M1300" s="263"/>
      <c r="N1300" s="263"/>
      <c r="O1300" s="263"/>
      <c r="P1300" s="263">
        <f>P1301</f>
        <v>203628</v>
      </c>
      <c r="Q1300" s="263">
        <f t="shared" si="1231"/>
        <v>132733.12</v>
      </c>
      <c r="R1300" s="263">
        <f t="shared" si="1231"/>
        <v>138042.44</v>
      </c>
      <c r="S1300" s="263">
        <f t="shared" si="1231"/>
        <v>0</v>
      </c>
      <c r="T1300" s="263">
        <f t="shared" si="1231"/>
        <v>0</v>
      </c>
      <c r="U1300" s="263">
        <f t="shared" si="1231"/>
        <v>0</v>
      </c>
      <c r="V1300" s="263">
        <f t="shared" ref="V1300:X1315" si="1232">P1300+S1300</f>
        <v>203628</v>
      </c>
      <c r="W1300" s="263">
        <f t="shared" si="1232"/>
        <v>132733.12</v>
      </c>
      <c r="X1300" s="263">
        <f t="shared" si="1232"/>
        <v>138042.44</v>
      </c>
    </row>
    <row r="1301" spans="1:24" s="229" customFormat="1" ht="25.5" hidden="1">
      <c r="A1301" s="239" t="s">
        <v>98</v>
      </c>
      <c r="B1301" s="261" t="s">
        <v>402</v>
      </c>
      <c r="C1301" s="261" t="s">
        <v>13</v>
      </c>
      <c r="D1301" s="261" t="s">
        <v>30</v>
      </c>
      <c r="E1301" s="261" t="s">
        <v>214</v>
      </c>
      <c r="F1301" s="261" t="s">
        <v>70</v>
      </c>
      <c r="G1301" s="261" t="s">
        <v>148</v>
      </c>
      <c r="H1301" s="261" t="s">
        <v>335</v>
      </c>
      <c r="I1301" s="262" t="s">
        <v>95</v>
      </c>
      <c r="J1301" s="263"/>
      <c r="K1301" s="263"/>
      <c r="L1301" s="263"/>
      <c r="M1301" s="263"/>
      <c r="N1301" s="263"/>
      <c r="O1301" s="263"/>
      <c r="P1301" s="263">
        <f>76000+127628</f>
        <v>203628</v>
      </c>
      <c r="Q1301" s="263">
        <v>132733.12</v>
      </c>
      <c r="R1301" s="263">
        <v>138042.44</v>
      </c>
      <c r="S1301" s="263"/>
      <c r="T1301" s="263"/>
      <c r="U1301" s="263"/>
      <c r="V1301" s="263">
        <f t="shared" si="1232"/>
        <v>203628</v>
      </c>
      <c r="W1301" s="263">
        <f t="shared" si="1232"/>
        <v>132733.12</v>
      </c>
      <c r="X1301" s="263">
        <f t="shared" si="1232"/>
        <v>138042.44</v>
      </c>
    </row>
    <row r="1302" spans="1:24" s="229" customFormat="1" ht="15.75" hidden="1">
      <c r="A1302" s="225" t="s">
        <v>15</v>
      </c>
      <c r="B1302" s="266" t="s">
        <v>402</v>
      </c>
      <c r="C1302" s="266" t="s">
        <v>16</v>
      </c>
      <c r="D1302" s="247"/>
      <c r="E1302" s="247"/>
      <c r="F1302" s="247"/>
      <c r="G1302" s="247"/>
      <c r="H1302" s="247"/>
      <c r="I1302" s="248"/>
      <c r="J1302" s="228"/>
      <c r="K1302" s="228"/>
      <c r="L1302" s="228"/>
      <c r="M1302" s="228"/>
      <c r="N1302" s="228"/>
      <c r="O1302" s="228"/>
      <c r="P1302" s="228">
        <f>P1303+P1308</f>
        <v>6445000</v>
      </c>
      <c r="Q1302" s="228">
        <f t="shared" ref="Q1302:U1302" si="1233">Q1303+Q1308</f>
        <v>0</v>
      </c>
      <c r="R1302" s="228">
        <f t="shared" si="1233"/>
        <v>0</v>
      </c>
      <c r="S1302" s="228">
        <f t="shared" si="1233"/>
        <v>0</v>
      </c>
      <c r="T1302" s="228">
        <f t="shared" si="1233"/>
        <v>0</v>
      </c>
      <c r="U1302" s="228">
        <f t="shared" si="1233"/>
        <v>0</v>
      </c>
      <c r="V1302" s="228">
        <f t="shared" si="1232"/>
        <v>6445000</v>
      </c>
      <c r="W1302" s="228">
        <f t="shared" si="1232"/>
        <v>0</v>
      </c>
      <c r="X1302" s="228">
        <f t="shared" si="1232"/>
        <v>0</v>
      </c>
    </row>
    <row r="1303" spans="1:24" s="229" customFormat="1" hidden="1">
      <c r="A1303" s="230" t="s">
        <v>23</v>
      </c>
      <c r="B1303" s="232" t="s">
        <v>402</v>
      </c>
      <c r="C1303" s="232" t="s">
        <v>16</v>
      </c>
      <c r="D1303" s="232" t="s">
        <v>27</v>
      </c>
      <c r="E1303" s="232"/>
      <c r="F1303" s="232"/>
      <c r="G1303" s="232"/>
      <c r="H1303" s="269"/>
      <c r="I1303" s="233"/>
      <c r="J1303" s="234"/>
      <c r="K1303" s="234"/>
      <c r="L1303" s="234"/>
      <c r="M1303" s="234"/>
      <c r="N1303" s="234"/>
      <c r="O1303" s="234"/>
      <c r="P1303" s="234">
        <f>P1304</f>
        <v>5275000</v>
      </c>
      <c r="Q1303" s="234">
        <f t="shared" ref="Q1303:U1306" si="1234">Q1304</f>
        <v>0</v>
      </c>
      <c r="R1303" s="234">
        <f t="shared" si="1234"/>
        <v>0</v>
      </c>
      <c r="S1303" s="234">
        <f t="shared" si="1234"/>
        <v>0</v>
      </c>
      <c r="T1303" s="234">
        <f t="shared" si="1234"/>
        <v>0</v>
      </c>
      <c r="U1303" s="234">
        <f t="shared" si="1234"/>
        <v>0</v>
      </c>
      <c r="V1303" s="234">
        <f t="shared" si="1232"/>
        <v>5275000</v>
      </c>
      <c r="W1303" s="234">
        <f t="shared" si="1232"/>
        <v>0</v>
      </c>
      <c r="X1303" s="234">
        <f t="shared" si="1232"/>
        <v>0</v>
      </c>
    </row>
    <row r="1304" spans="1:24" s="229" customFormat="1" ht="38.25" hidden="1">
      <c r="A1304" s="235" t="s">
        <v>396</v>
      </c>
      <c r="B1304" s="227" t="s">
        <v>402</v>
      </c>
      <c r="C1304" s="227" t="s">
        <v>16</v>
      </c>
      <c r="D1304" s="227" t="s">
        <v>27</v>
      </c>
      <c r="E1304" s="227" t="s">
        <v>18</v>
      </c>
      <c r="F1304" s="227" t="s">
        <v>70</v>
      </c>
      <c r="G1304" s="227" t="s">
        <v>148</v>
      </c>
      <c r="H1304" s="267" t="s">
        <v>149</v>
      </c>
      <c r="I1304" s="237"/>
      <c r="J1304" s="238"/>
      <c r="K1304" s="238"/>
      <c r="L1304" s="238"/>
      <c r="M1304" s="238"/>
      <c r="N1304" s="238"/>
      <c r="O1304" s="238"/>
      <c r="P1304" s="238">
        <f>P1305</f>
        <v>5275000</v>
      </c>
      <c r="Q1304" s="238">
        <f t="shared" si="1234"/>
        <v>0</v>
      </c>
      <c r="R1304" s="238">
        <f t="shared" si="1234"/>
        <v>0</v>
      </c>
      <c r="S1304" s="238">
        <f t="shared" si="1234"/>
        <v>0</v>
      </c>
      <c r="T1304" s="238">
        <f t="shared" si="1234"/>
        <v>0</v>
      </c>
      <c r="U1304" s="238">
        <f t="shared" si="1234"/>
        <v>0</v>
      </c>
      <c r="V1304" s="238">
        <f t="shared" si="1232"/>
        <v>5275000</v>
      </c>
      <c r="W1304" s="238">
        <f t="shared" si="1232"/>
        <v>0</v>
      </c>
      <c r="X1304" s="238">
        <f t="shared" si="1232"/>
        <v>0</v>
      </c>
    </row>
    <row r="1305" spans="1:24" s="229" customFormat="1" ht="25.5" hidden="1">
      <c r="A1305" s="268" t="s">
        <v>312</v>
      </c>
      <c r="B1305" s="227" t="s">
        <v>402</v>
      </c>
      <c r="C1305" s="227" t="s">
        <v>16</v>
      </c>
      <c r="D1305" s="227" t="s">
        <v>27</v>
      </c>
      <c r="E1305" s="227" t="s">
        <v>18</v>
      </c>
      <c r="F1305" s="227" t="s">
        <v>70</v>
      </c>
      <c r="G1305" s="227" t="s">
        <v>148</v>
      </c>
      <c r="H1305" s="267" t="s">
        <v>311</v>
      </c>
      <c r="I1305" s="272"/>
      <c r="J1305" s="238"/>
      <c r="K1305" s="238"/>
      <c r="L1305" s="238"/>
      <c r="M1305" s="238"/>
      <c r="N1305" s="238"/>
      <c r="O1305" s="238"/>
      <c r="P1305" s="238">
        <f>P1306</f>
        <v>5275000</v>
      </c>
      <c r="Q1305" s="238">
        <f t="shared" si="1234"/>
        <v>0</v>
      </c>
      <c r="R1305" s="238">
        <f t="shared" si="1234"/>
        <v>0</v>
      </c>
      <c r="S1305" s="238">
        <f t="shared" si="1234"/>
        <v>0</v>
      </c>
      <c r="T1305" s="238">
        <f t="shared" si="1234"/>
        <v>0</v>
      </c>
      <c r="U1305" s="238">
        <f t="shared" si="1234"/>
        <v>0</v>
      </c>
      <c r="V1305" s="238">
        <f t="shared" si="1232"/>
        <v>5275000</v>
      </c>
      <c r="W1305" s="238">
        <f t="shared" si="1232"/>
        <v>0</v>
      </c>
      <c r="X1305" s="238">
        <f t="shared" si="1232"/>
        <v>0</v>
      </c>
    </row>
    <row r="1306" spans="1:24" s="229" customFormat="1" ht="25.5" hidden="1">
      <c r="A1306" s="240" t="s">
        <v>260</v>
      </c>
      <c r="B1306" s="227" t="s">
        <v>402</v>
      </c>
      <c r="C1306" s="227" t="s">
        <v>16</v>
      </c>
      <c r="D1306" s="227" t="s">
        <v>27</v>
      </c>
      <c r="E1306" s="227" t="s">
        <v>18</v>
      </c>
      <c r="F1306" s="227" t="s">
        <v>70</v>
      </c>
      <c r="G1306" s="227" t="s">
        <v>148</v>
      </c>
      <c r="H1306" s="267" t="s">
        <v>311</v>
      </c>
      <c r="I1306" s="272" t="s">
        <v>94</v>
      </c>
      <c r="J1306" s="238"/>
      <c r="K1306" s="238"/>
      <c r="L1306" s="238"/>
      <c r="M1306" s="238"/>
      <c r="N1306" s="238"/>
      <c r="O1306" s="238"/>
      <c r="P1306" s="238">
        <f>P1307</f>
        <v>5275000</v>
      </c>
      <c r="Q1306" s="238">
        <f t="shared" si="1234"/>
        <v>0</v>
      </c>
      <c r="R1306" s="238">
        <f t="shared" si="1234"/>
        <v>0</v>
      </c>
      <c r="S1306" s="238">
        <f t="shared" si="1234"/>
        <v>0</v>
      </c>
      <c r="T1306" s="238">
        <f t="shared" si="1234"/>
        <v>0</v>
      </c>
      <c r="U1306" s="238">
        <f t="shared" si="1234"/>
        <v>0</v>
      </c>
      <c r="V1306" s="238">
        <f t="shared" si="1232"/>
        <v>5275000</v>
      </c>
      <c r="W1306" s="238">
        <f t="shared" si="1232"/>
        <v>0</v>
      </c>
      <c r="X1306" s="238">
        <f t="shared" si="1232"/>
        <v>0</v>
      </c>
    </row>
    <row r="1307" spans="1:24" s="229" customFormat="1" ht="25.5" hidden="1">
      <c r="A1307" s="239" t="s">
        <v>98</v>
      </c>
      <c r="B1307" s="227" t="s">
        <v>402</v>
      </c>
      <c r="C1307" s="227" t="s">
        <v>16</v>
      </c>
      <c r="D1307" s="227" t="s">
        <v>27</v>
      </c>
      <c r="E1307" s="227" t="s">
        <v>18</v>
      </c>
      <c r="F1307" s="227" t="s">
        <v>70</v>
      </c>
      <c r="G1307" s="227" t="s">
        <v>148</v>
      </c>
      <c r="H1307" s="267" t="s">
        <v>311</v>
      </c>
      <c r="I1307" s="272" t="s">
        <v>95</v>
      </c>
      <c r="J1307" s="238"/>
      <c r="K1307" s="238"/>
      <c r="L1307" s="238"/>
      <c r="M1307" s="238"/>
      <c r="N1307" s="238"/>
      <c r="O1307" s="238"/>
      <c r="P1307" s="238">
        <v>5275000</v>
      </c>
      <c r="Q1307" s="238">
        <f t="shared" ref="Q1307:R1307" si="1235">K1307+N1307</f>
        <v>0</v>
      </c>
      <c r="R1307" s="238">
        <f t="shared" si="1235"/>
        <v>0</v>
      </c>
      <c r="S1307" s="238"/>
      <c r="T1307" s="238"/>
      <c r="U1307" s="238"/>
      <c r="V1307" s="238">
        <f t="shared" si="1232"/>
        <v>5275000</v>
      </c>
      <c r="W1307" s="238">
        <f t="shared" si="1232"/>
        <v>0</v>
      </c>
      <c r="X1307" s="238">
        <f t="shared" si="1232"/>
        <v>0</v>
      </c>
    </row>
    <row r="1308" spans="1:24" s="229" customFormat="1" hidden="1">
      <c r="A1308" s="230" t="s">
        <v>60</v>
      </c>
      <c r="B1308" s="231" t="s">
        <v>402</v>
      </c>
      <c r="C1308" s="231" t="s">
        <v>16</v>
      </c>
      <c r="D1308" s="231" t="s">
        <v>14</v>
      </c>
      <c r="E1308" s="231"/>
      <c r="F1308" s="231"/>
      <c r="G1308" s="231"/>
      <c r="H1308" s="227"/>
      <c r="I1308" s="237"/>
      <c r="J1308" s="234"/>
      <c r="K1308" s="234"/>
      <c r="L1308" s="234"/>
      <c r="M1308" s="234"/>
      <c r="N1308" s="234"/>
      <c r="O1308" s="234"/>
      <c r="P1308" s="234">
        <f>P1309</f>
        <v>1170000</v>
      </c>
      <c r="Q1308" s="234">
        <f t="shared" ref="Q1308:U1311" si="1236">Q1309</f>
        <v>0</v>
      </c>
      <c r="R1308" s="234">
        <f t="shared" si="1236"/>
        <v>0</v>
      </c>
      <c r="S1308" s="234">
        <f t="shared" si="1236"/>
        <v>0</v>
      </c>
      <c r="T1308" s="234">
        <f t="shared" si="1236"/>
        <v>0</v>
      </c>
      <c r="U1308" s="234">
        <f t="shared" si="1236"/>
        <v>0</v>
      </c>
      <c r="V1308" s="234">
        <f t="shared" si="1232"/>
        <v>1170000</v>
      </c>
      <c r="W1308" s="234">
        <f t="shared" si="1232"/>
        <v>0</v>
      </c>
      <c r="X1308" s="234">
        <f t="shared" si="1232"/>
        <v>0</v>
      </c>
    </row>
    <row r="1309" spans="1:24" s="229" customFormat="1" hidden="1">
      <c r="A1309" s="235" t="s">
        <v>84</v>
      </c>
      <c r="B1309" s="227" t="s">
        <v>402</v>
      </c>
      <c r="C1309" s="227" t="s">
        <v>16</v>
      </c>
      <c r="D1309" s="227" t="s">
        <v>14</v>
      </c>
      <c r="E1309" s="227" t="s">
        <v>82</v>
      </c>
      <c r="F1309" s="227" t="s">
        <v>70</v>
      </c>
      <c r="G1309" s="227" t="s">
        <v>148</v>
      </c>
      <c r="H1309" s="227" t="s">
        <v>149</v>
      </c>
      <c r="I1309" s="237"/>
      <c r="J1309" s="238"/>
      <c r="K1309" s="238"/>
      <c r="L1309" s="238"/>
      <c r="M1309" s="238"/>
      <c r="N1309" s="238"/>
      <c r="O1309" s="238"/>
      <c r="P1309" s="238">
        <f>P1310</f>
        <v>1170000</v>
      </c>
      <c r="Q1309" s="238">
        <f t="shared" si="1236"/>
        <v>0</v>
      </c>
      <c r="R1309" s="238">
        <f t="shared" si="1236"/>
        <v>0</v>
      </c>
      <c r="S1309" s="238">
        <f t="shared" si="1236"/>
        <v>0</v>
      </c>
      <c r="T1309" s="238">
        <f t="shared" si="1236"/>
        <v>0</v>
      </c>
      <c r="U1309" s="238">
        <f t="shared" si="1236"/>
        <v>0</v>
      </c>
      <c r="V1309" s="238">
        <f t="shared" si="1232"/>
        <v>1170000</v>
      </c>
      <c r="W1309" s="238">
        <f t="shared" si="1232"/>
        <v>0</v>
      </c>
      <c r="X1309" s="238">
        <f t="shared" si="1232"/>
        <v>0</v>
      </c>
    </row>
    <row r="1310" spans="1:24" s="229" customFormat="1" ht="38.25" hidden="1">
      <c r="A1310" s="235" t="s">
        <v>350</v>
      </c>
      <c r="B1310" s="227" t="s">
        <v>402</v>
      </c>
      <c r="C1310" s="227" t="s">
        <v>16</v>
      </c>
      <c r="D1310" s="227" t="s">
        <v>14</v>
      </c>
      <c r="E1310" s="227" t="s">
        <v>82</v>
      </c>
      <c r="F1310" s="227" t="s">
        <v>70</v>
      </c>
      <c r="G1310" s="227" t="s">
        <v>148</v>
      </c>
      <c r="H1310" s="227" t="s">
        <v>179</v>
      </c>
      <c r="I1310" s="237"/>
      <c r="J1310" s="238"/>
      <c r="K1310" s="238"/>
      <c r="L1310" s="238"/>
      <c r="M1310" s="238"/>
      <c r="N1310" s="238"/>
      <c r="O1310" s="238"/>
      <c r="P1310" s="238">
        <f>P1311</f>
        <v>1170000</v>
      </c>
      <c r="Q1310" s="238">
        <f t="shared" si="1236"/>
        <v>0</v>
      </c>
      <c r="R1310" s="238">
        <f t="shared" si="1236"/>
        <v>0</v>
      </c>
      <c r="S1310" s="238">
        <f t="shared" si="1236"/>
        <v>0</v>
      </c>
      <c r="T1310" s="238">
        <f t="shared" si="1236"/>
        <v>0</v>
      </c>
      <c r="U1310" s="238">
        <f t="shared" si="1236"/>
        <v>0</v>
      </c>
      <c r="V1310" s="238">
        <f t="shared" si="1232"/>
        <v>1170000</v>
      </c>
      <c r="W1310" s="238">
        <f t="shared" si="1232"/>
        <v>0</v>
      </c>
      <c r="X1310" s="238">
        <f t="shared" si="1232"/>
        <v>0</v>
      </c>
    </row>
    <row r="1311" spans="1:24" s="229" customFormat="1" ht="25.5" hidden="1">
      <c r="A1311" s="240" t="s">
        <v>260</v>
      </c>
      <c r="B1311" s="227" t="s">
        <v>402</v>
      </c>
      <c r="C1311" s="227" t="s">
        <v>16</v>
      </c>
      <c r="D1311" s="227" t="s">
        <v>14</v>
      </c>
      <c r="E1311" s="227" t="s">
        <v>82</v>
      </c>
      <c r="F1311" s="227" t="s">
        <v>70</v>
      </c>
      <c r="G1311" s="227" t="s">
        <v>148</v>
      </c>
      <c r="H1311" s="227" t="s">
        <v>179</v>
      </c>
      <c r="I1311" s="237" t="s">
        <v>94</v>
      </c>
      <c r="J1311" s="238"/>
      <c r="K1311" s="238"/>
      <c r="L1311" s="238"/>
      <c r="M1311" s="238"/>
      <c r="N1311" s="238"/>
      <c r="O1311" s="238"/>
      <c r="P1311" s="238">
        <f>P1312</f>
        <v>1170000</v>
      </c>
      <c r="Q1311" s="238">
        <f t="shared" si="1236"/>
        <v>0</v>
      </c>
      <c r="R1311" s="238">
        <f t="shared" si="1236"/>
        <v>0</v>
      </c>
      <c r="S1311" s="238">
        <f t="shared" si="1236"/>
        <v>0</v>
      </c>
      <c r="T1311" s="238">
        <f t="shared" si="1236"/>
        <v>0</v>
      </c>
      <c r="U1311" s="238">
        <f t="shared" si="1236"/>
        <v>0</v>
      </c>
      <c r="V1311" s="238">
        <f t="shared" si="1232"/>
        <v>1170000</v>
      </c>
      <c r="W1311" s="238">
        <f t="shared" si="1232"/>
        <v>0</v>
      </c>
      <c r="X1311" s="238">
        <f t="shared" si="1232"/>
        <v>0</v>
      </c>
    </row>
    <row r="1312" spans="1:24" s="229" customFormat="1" ht="25.5" hidden="1">
      <c r="A1312" s="239" t="s">
        <v>98</v>
      </c>
      <c r="B1312" s="227" t="s">
        <v>402</v>
      </c>
      <c r="C1312" s="227" t="s">
        <v>16</v>
      </c>
      <c r="D1312" s="227" t="s">
        <v>14</v>
      </c>
      <c r="E1312" s="227" t="s">
        <v>82</v>
      </c>
      <c r="F1312" s="227" t="s">
        <v>70</v>
      </c>
      <c r="G1312" s="227" t="s">
        <v>148</v>
      </c>
      <c r="H1312" s="227" t="s">
        <v>179</v>
      </c>
      <c r="I1312" s="237" t="s">
        <v>95</v>
      </c>
      <c r="J1312" s="238"/>
      <c r="K1312" s="238"/>
      <c r="L1312" s="238"/>
      <c r="M1312" s="238"/>
      <c r="N1312" s="238"/>
      <c r="O1312" s="238"/>
      <c r="P1312" s="238">
        <v>1170000</v>
      </c>
      <c r="Q1312" s="238"/>
      <c r="R1312" s="238"/>
      <c r="S1312" s="238"/>
      <c r="T1312" s="238"/>
      <c r="U1312" s="238"/>
      <c r="V1312" s="238">
        <f t="shared" si="1232"/>
        <v>1170000</v>
      </c>
      <c r="W1312" s="238">
        <f t="shared" si="1232"/>
        <v>0</v>
      </c>
      <c r="X1312" s="238">
        <f t="shared" si="1232"/>
        <v>0</v>
      </c>
    </row>
    <row r="1313" spans="1:24" s="229" customFormat="1" ht="15.75" hidden="1">
      <c r="A1313" s="273" t="s">
        <v>46</v>
      </c>
      <c r="B1313" s="274" t="s">
        <v>402</v>
      </c>
      <c r="C1313" s="274" t="s">
        <v>18</v>
      </c>
      <c r="D1313" s="274"/>
      <c r="E1313" s="274"/>
      <c r="F1313" s="274"/>
      <c r="G1313" s="274"/>
      <c r="H1313" s="274"/>
      <c r="I1313" s="275"/>
      <c r="J1313" s="228"/>
      <c r="K1313" s="228"/>
      <c r="L1313" s="228"/>
      <c r="M1313" s="228"/>
      <c r="N1313" s="228"/>
      <c r="O1313" s="228"/>
      <c r="P1313" s="228">
        <f t="shared" ref="P1313:U1313" si="1237">P1314+P1319</f>
        <v>1596376</v>
      </c>
      <c r="Q1313" s="228">
        <f t="shared" si="1237"/>
        <v>533421.56000000006</v>
      </c>
      <c r="R1313" s="228">
        <f t="shared" si="1237"/>
        <v>484837.95</v>
      </c>
      <c r="S1313" s="228">
        <f t="shared" si="1237"/>
        <v>0</v>
      </c>
      <c r="T1313" s="228">
        <f t="shared" si="1237"/>
        <v>0</v>
      </c>
      <c r="U1313" s="228">
        <f t="shared" si="1237"/>
        <v>0</v>
      </c>
      <c r="V1313" s="228">
        <f t="shared" si="1232"/>
        <v>1596376</v>
      </c>
      <c r="W1313" s="228">
        <f t="shared" si="1232"/>
        <v>533421.56000000006</v>
      </c>
      <c r="X1313" s="228">
        <f t="shared" si="1232"/>
        <v>484837.95</v>
      </c>
    </row>
    <row r="1314" spans="1:24" s="229" customFormat="1" hidden="1">
      <c r="A1314" s="278" t="s">
        <v>47</v>
      </c>
      <c r="B1314" s="232" t="s">
        <v>402</v>
      </c>
      <c r="C1314" s="232" t="s">
        <v>18</v>
      </c>
      <c r="D1314" s="232" t="s">
        <v>17</v>
      </c>
      <c r="E1314" s="232"/>
      <c r="F1314" s="232"/>
      <c r="G1314" s="232"/>
      <c r="H1314" s="232"/>
      <c r="I1314" s="233"/>
      <c r="J1314" s="234"/>
      <c r="K1314" s="234"/>
      <c r="L1314" s="234"/>
      <c r="M1314" s="234"/>
      <c r="N1314" s="234"/>
      <c r="O1314" s="234"/>
      <c r="P1314" s="234">
        <f>P1315</f>
        <v>733000</v>
      </c>
      <c r="Q1314" s="234">
        <f t="shared" ref="Q1314:U1317" si="1238">Q1315</f>
        <v>0</v>
      </c>
      <c r="R1314" s="234">
        <f t="shared" si="1238"/>
        <v>0</v>
      </c>
      <c r="S1314" s="234">
        <f t="shared" si="1238"/>
        <v>0</v>
      </c>
      <c r="T1314" s="234">
        <f t="shared" si="1238"/>
        <v>0</v>
      </c>
      <c r="U1314" s="234">
        <f t="shared" si="1238"/>
        <v>0</v>
      </c>
      <c r="V1314" s="234">
        <f t="shared" si="1232"/>
        <v>733000</v>
      </c>
      <c r="W1314" s="234">
        <f t="shared" si="1232"/>
        <v>0</v>
      </c>
      <c r="X1314" s="234">
        <f t="shared" si="1232"/>
        <v>0</v>
      </c>
    </row>
    <row r="1315" spans="1:24" s="229" customFormat="1" ht="42.75" hidden="1">
      <c r="A1315" s="279" t="s">
        <v>286</v>
      </c>
      <c r="B1315" s="236" t="s">
        <v>402</v>
      </c>
      <c r="C1315" s="236" t="s">
        <v>18</v>
      </c>
      <c r="D1315" s="236" t="s">
        <v>17</v>
      </c>
      <c r="E1315" s="236" t="s">
        <v>3</v>
      </c>
      <c r="F1315" s="236" t="s">
        <v>70</v>
      </c>
      <c r="G1315" s="236" t="s">
        <v>148</v>
      </c>
      <c r="H1315" s="236" t="s">
        <v>149</v>
      </c>
      <c r="I1315" s="277"/>
      <c r="J1315" s="238"/>
      <c r="K1315" s="238"/>
      <c r="L1315" s="238"/>
      <c r="M1315" s="238"/>
      <c r="N1315" s="238"/>
      <c r="O1315" s="238"/>
      <c r="P1315" s="238">
        <f>P1316</f>
        <v>733000</v>
      </c>
      <c r="Q1315" s="238">
        <f t="shared" si="1238"/>
        <v>0</v>
      </c>
      <c r="R1315" s="238">
        <f t="shared" si="1238"/>
        <v>0</v>
      </c>
      <c r="S1315" s="238">
        <f t="shared" si="1238"/>
        <v>0</v>
      </c>
      <c r="T1315" s="238">
        <f t="shared" si="1238"/>
        <v>0</v>
      </c>
      <c r="U1315" s="238">
        <f t="shared" si="1238"/>
        <v>0</v>
      </c>
      <c r="V1315" s="238">
        <f t="shared" si="1232"/>
        <v>733000</v>
      </c>
      <c r="W1315" s="238">
        <f t="shared" si="1232"/>
        <v>0</v>
      </c>
      <c r="X1315" s="238">
        <f t="shared" si="1232"/>
        <v>0</v>
      </c>
    </row>
    <row r="1316" spans="1:24" s="229" customFormat="1" ht="25.5" hidden="1">
      <c r="A1316" s="268" t="s">
        <v>312</v>
      </c>
      <c r="B1316" s="236" t="s">
        <v>402</v>
      </c>
      <c r="C1316" s="236" t="s">
        <v>18</v>
      </c>
      <c r="D1316" s="236" t="s">
        <v>17</v>
      </c>
      <c r="E1316" s="236" t="s">
        <v>3</v>
      </c>
      <c r="F1316" s="236" t="s">
        <v>70</v>
      </c>
      <c r="G1316" s="236" t="s">
        <v>148</v>
      </c>
      <c r="H1316" s="236" t="s">
        <v>311</v>
      </c>
      <c r="I1316" s="277"/>
      <c r="J1316" s="238"/>
      <c r="K1316" s="238"/>
      <c r="L1316" s="238"/>
      <c r="M1316" s="238"/>
      <c r="N1316" s="238"/>
      <c r="O1316" s="238"/>
      <c r="P1316" s="238">
        <f>P1317</f>
        <v>733000</v>
      </c>
      <c r="Q1316" s="238">
        <f t="shared" si="1238"/>
        <v>0</v>
      </c>
      <c r="R1316" s="238">
        <f t="shared" si="1238"/>
        <v>0</v>
      </c>
      <c r="S1316" s="238">
        <f t="shared" si="1238"/>
        <v>0</v>
      </c>
      <c r="T1316" s="238">
        <f t="shared" si="1238"/>
        <v>0</v>
      </c>
      <c r="U1316" s="238">
        <f t="shared" si="1238"/>
        <v>0</v>
      </c>
      <c r="V1316" s="238">
        <f t="shared" ref="V1316:X1330" si="1239">P1316+S1316</f>
        <v>733000</v>
      </c>
      <c r="W1316" s="238">
        <f t="shared" si="1239"/>
        <v>0</v>
      </c>
      <c r="X1316" s="238">
        <f t="shared" si="1239"/>
        <v>0</v>
      </c>
    </row>
    <row r="1317" spans="1:24" s="229" customFormat="1" ht="25.5" hidden="1">
      <c r="A1317" s="240" t="s">
        <v>260</v>
      </c>
      <c r="B1317" s="236" t="s">
        <v>402</v>
      </c>
      <c r="C1317" s="236" t="s">
        <v>18</v>
      </c>
      <c r="D1317" s="236" t="s">
        <v>17</v>
      </c>
      <c r="E1317" s="236" t="s">
        <v>3</v>
      </c>
      <c r="F1317" s="236" t="s">
        <v>70</v>
      </c>
      <c r="G1317" s="236" t="s">
        <v>148</v>
      </c>
      <c r="H1317" s="236" t="s">
        <v>311</v>
      </c>
      <c r="I1317" s="277" t="s">
        <v>94</v>
      </c>
      <c r="J1317" s="238"/>
      <c r="K1317" s="238"/>
      <c r="L1317" s="238"/>
      <c r="M1317" s="238"/>
      <c r="N1317" s="238"/>
      <c r="O1317" s="238"/>
      <c r="P1317" s="238">
        <f>P1318</f>
        <v>733000</v>
      </c>
      <c r="Q1317" s="238">
        <f t="shared" si="1238"/>
        <v>0</v>
      </c>
      <c r="R1317" s="238">
        <f t="shared" si="1238"/>
        <v>0</v>
      </c>
      <c r="S1317" s="238">
        <f t="shared" si="1238"/>
        <v>0</v>
      </c>
      <c r="T1317" s="238">
        <f t="shared" si="1238"/>
        <v>0</v>
      </c>
      <c r="U1317" s="238">
        <f t="shared" si="1238"/>
        <v>0</v>
      </c>
      <c r="V1317" s="238">
        <f t="shared" si="1239"/>
        <v>733000</v>
      </c>
      <c r="W1317" s="238">
        <f t="shared" si="1239"/>
        <v>0</v>
      </c>
      <c r="X1317" s="238">
        <f t="shared" si="1239"/>
        <v>0</v>
      </c>
    </row>
    <row r="1318" spans="1:24" s="229" customFormat="1" ht="25.5" hidden="1">
      <c r="A1318" s="239" t="s">
        <v>98</v>
      </c>
      <c r="B1318" s="236" t="s">
        <v>402</v>
      </c>
      <c r="C1318" s="236" t="s">
        <v>18</v>
      </c>
      <c r="D1318" s="236" t="s">
        <v>17</v>
      </c>
      <c r="E1318" s="236" t="s">
        <v>3</v>
      </c>
      <c r="F1318" s="236" t="s">
        <v>70</v>
      </c>
      <c r="G1318" s="236" t="s">
        <v>148</v>
      </c>
      <c r="H1318" s="236" t="s">
        <v>311</v>
      </c>
      <c r="I1318" s="277" t="s">
        <v>95</v>
      </c>
      <c r="J1318" s="238"/>
      <c r="K1318" s="238"/>
      <c r="L1318" s="238"/>
      <c r="M1318" s="238"/>
      <c r="N1318" s="238"/>
      <c r="O1318" s="238"/>
      <c r="P1318" s="238">
        <v>733000</v>
      </c>
      <c r="Q1318" s="238">
        <f t="shared" ref="Q1318:R1318" si="1240">K1318+N1318</f>
        <v>0</v>
      </c>
      <c r="R1318" s="238">
        <f t="shared" si="1240"/>
        <v>0</v>
      </c>
      <c r="S1318" s="238"/>
      <c r="T1318" s="238"/>
      <c r="U1318" s="238"/>
      <c r="V1318" s="238">
        <f t="shared" si="1239"/>
        <v>733000</v>
      </c>
      <c r="W1318" s="238">
        <f t="shared" si="1239"/>
        <v>0</v>
      </c>
      <c r="X1318" s="238">
        <f t="shared" si="1239"/>
        <v>0</v>
      </c>
    </row>
    <row r="1319" spans="1:24" s="255" customFormat="1" hidden="1">
      <c r="A1319" s="278" t="s">
        <v>68</v>
      </c>
      <c r="B1319" s="231" t="s">
        <v>402</v>
      </c>
      <c r="C1319" s="231" t="s">
        <v>18</v>
      </c>
      <c r="D1319" s="231" t="s">
        <v>13</v>
      </c>
      <c r="E1319" s="231"/>
      <c r="F1319" s="231"/>
      <c r="G1319" s="231"/>
      <c r="H1319" s="231"/>
      <c r="I1319" s="242"/>
      <c r="J1319" s="234"/>
      <c r="K1319" s="234"/>
      <c r="L1319" s="234"/>
      <c r="M1319" s="234"/>
      <c r="N1319" s="234"/>
      <c r="O1319" s="234"/>
      <c r="P1319" s="234">
        <f>P1320+P1324</f>
        <v>863376</v>
      </c>
      <c r="Q1319" s="234">
        <f t="shared" ref="Q1319:U1319" si="1241">Q1320+Q1324</f>
        <v>533421.56000000006</v>
      </c>
      <c r="R1319" s="234">
        <f t="shared" si="1241"/>
        <v>484837.95</v>
      </c>
      <c r="S1319" s="234">
        <f t="shared" si="1241"/>
        <v>0</v>
      </c>
      <c r="T1319" s="234">
        <f t="shared" si="1241"/>
        <v>0</v>
      </c>
      <c r="U1319" s="234">
        <f t="shared" si="1241"/>
        <v>0</v>
      </c>
      <c r="V1319" s="234">
        <f t="shared" si="1239"/>
        <v>863376</v>
      </c>
      <c r="W1319" s="234">
        <f t="shared" si="1239"/>
        <v>533421.56000000006</v>
      </c>
      <c r="X1319" s="234">
        <f t="shared" si="1239"/>
        <v>484837.95</v>
      </c>
    </row>
    <row r="1320" spans="1:24" s="229" customFormat="1" ht="38.25" hidden="1">
      <c r="A1320" s="298" t="s">
        <v>286</v>
      </c>
      <c r="B1320" s="227" t="s">
        <v>402</v>
      </c>
      <c r="C1320" s="227" t="s">
        <v>18</v>
      </c>
      <c r="D1320" s="227" t="s">
        <v>13</v>
      </c>
      <c r="E1320" s="227" t="s">
        <v>3</v>
      </c>
      <c r="F1320" s="227" t="s">
        <v>70</v>
      </c>
      <c r="G1320" s="227" t="s">
        <v>148</v>
      </c>
      <c r="H1320" s="227" t="s">
        <v>149</v>
      </c>
      <c r="I1320" s="237"/>
      <c r="J1320" s="238"/>
      <c r="K1320" s="238"/>
      <c r="L1320" s="238"/>
      <c r="M1320" s="238"/>
      <c r="N1320" s="238"/>
      <c r="O1320" s="238"/>
      <c r="P1320" s="238">
        <f>P1321</f>
        <v>342000</v>
      </c>
      <c r="Q1320" s="238">
        <f t="shared" ref="Q1320:U1322" si="1242">Q1321</f>
        <v>0</v>
      </c>
      <c r="R1320" s="238">
        <f t="shared" si="1242"/>
        <v>0</v>
      </c>
      <c r="S1320" s="238">
        <f t="shared" si="1242"/>
        <v>0</v>
      </c>
      <c r="T1320" s="238">
        <f t="shared" si="1242"/>
        <v>0</v>
      </c>
      <c r="U1320" s="238">
        <f t="shared" si="1242"/>
        <v>0</v>
      </c>
      <c r="V1320" s="238">
        <f t="shared" si="1239"/>
        <v>342000</v>
      </c>
      <c r="W1320" s="238">
        <f t="shared" si="1239"/>
        <v>0</v>
      </c>
      <c r="X1320" s="238">
        <f t="shared" si="1239"/>
        <v>0</v>
      </c>
    </row>
    <row r="1321" spans="1:24" s="229" customFormat="1" ht="25.5" hidden="1">
      <c r="A1321" s="268" t="s">
        <v>312</v>
      </c>
      <c r="B1321" s="227" t="s">
        <v>402</v>
      </c>
      <c r="C1321" s="227" t="s">
        <v>18</v>
      </c>
      <c r="D1321" s="227" t="s">
        <v>13</v>
      </c>
      <c r="E1321" s="227" t="s">
        <v>3</v>
      </c>
      <c r="F1321" s="227" t="s">
        <v>70</v>
      </c>
      <c r="G1321" s="227" t="s">
        <v>148</v>
      </c>
      <c r="H1321" s="227" t="s">
        <v>311</v>
      </c>
      <c r="I1321" s="237"/>
      <c r="J1321" s="238"/>
      <c r="K1321" s="238"/>
      <c r="L1321" s="238"/>
      <c r="M1321" s="238"/>
      <c r="N1321" s="238"/>
      <c r="O1321" s="238"/>
      <c r="P1321" s="238">
        <f>P1322</f>
        <v>342000</v>
      </c>
      <c r="Q1321" s="238">
        <f t="shared" si="1242"/>
        <v>0</v>
      </c>
      <c r="R1321" s="238">
        <f t="shared" si="1242"/>
        <v>0</v>
      </c>
      <c r="S1321" s="238">
        <f t="shared" si="1242"/>
        <v>0</v>
      </c>
      <c r="T1321" s="238">
        <f t="shared" si="1242"/>
        <v>0</v>
      </c>
      <c r="U1321" s="238">
        <f t="shared" si="1242"/>
        <v>0</v>
      </c>
      <c r="V1321" s="238">
        <f t="shared" si="1239"/>
        <v>342000</v>
      </c>
      <c r="W1321" s="238">
        <f t="shared" si="1239"/>
        <v>0</v>
      </c>
      <c r="X1321" s="238">
        <f t="shared" si="1239"/>
        <v>0</v>
      </c>
    </row>
    <row r="1322" spans="1:24" s="229" customFormat="1" ht="25.5" hidden="1">
      <c r="A1322" s="240" t="s">
        <v>260</v>
      </c>
      <c r="B1322" s="227" t="s">
        <v>402</v>
      </c>
      <c r="C1322" s="227" t="s">
        <v>18</v>
      </c>
      <c r="D1322" s="227" t="s">
        <v>13</v>
      </c>
      <c r="E1322" s="227" t="s">
        <v>3</v>
      </c>
      <c r="F1322" s="227" t="s">
        <v>70</v>
      </c>
      <c r="G1322" s="227" t="s">
        <v>148</v>
      </c>
      <c r="H1322" s="227" t="s">
        <v>311</v>
      </c>
      <c r="I1322" s="237" t="s">
        <v>94</v>
      </c>
      <c r="J1322" s="238"/>
      <c r="K1322" s="238"/>
      <c r="L1322" s="238"/>
      <c r="M1322" s="238"/>
      <c r="N1322" s="238"/>
      <c r="O1322" s="238"/>
      <c r="P1322" s="238">
        <f>P1323</f>
        <v>342000</v>
      </c>
      <c r="Q1322" s="238">
        <f t="shared" si="1242"/>
        <v>0</v>
      </c>
      <c r="R1322" s="238">
        <f t="shared" si="1242"/>
        <v>0</v>
      </c>
      <c r="S1322" s="238">
        <f t="shared" si="1242"/>
        <v>0</v>
      </c>
      <c r="T1322" s="238">
        <f t="shared" si="1242"/>
        <v>0</v>
      </c>
      <c r="U1322" s="238">
        <f t="shared" si="1242"/>
        <v>0</v>
      </c>
      <c r="V1322" s="238">
        <f t="shared" si="1239"/>
        <v>342000</v>
      </c>
      <c r="W1322" s="238">
        <f t="shared" si="1239"/>
        <v>0</v>
      </c>
      <c r="X1322" s="238">
        <f t="shared" si="1239"/>
        <v>0</v>
      </c>
    </row>
    <row r="1323" spans="1:24" s="229" customFormat="1" ht="25.5" hidden="1">
      <c r="A1323" s="239" t="s">
        <v>98</v>
      </c>
      <c r="B1323" s="227" t="s">
        <v>402</v>
      </c>
      <c r="C1323" s="227" t="s">
        <v>18</v>
      </c>
      <c r="D1323" s="227" t="s">
        <v>13</v>
      </c>
      <c r="E1323" s="227" t="s">
        <v>3</v>
      </c>
      <c r="F1323" s="227" t="s">
        <v>70</v>
      </c>
      <c r="G1323" s="227" t="s">
        <v>148</v>
      </c>
      <c r="H1323" s="227" t="s">
        <v>311</v>
      </c>
      <c r="I1323" s="237" t="s">
        <v>95</v>
      </c>
      <c r="J1323" s="238"/>
      <c r="K1323" s="238"/>
      <c r="L1323" s="238"/>
      <c r="M1323" s="238"/>
      <c r="N1323" s="238"/>
      <c r="O1323" s="238"/>
      <c r="P1323" s="238">
        <v>342000</v>
      </c>
      <c r="Q1323" s="238">
        <f t="shared" ref="Q1323:R1323" si="1243">K1323+N1323</f>
        <v>0</v>
      </c>
      <c r="R1323" s="238">
        <f t="shared" si="1243"/>
        <v>0</v>
      </c>
      <c r="S1323" s="238"/>
      <c r="T1323" s="238"/>
      <c r="U1323" s="238"/>
      <c r="V1323" s="238">
        <f t="shared" si="1239"/>
        <v>342000</v>
      </c>
      <c r="W1323" s="238">
        <f t="shared" si="1239"/>
        <v>0</v>
      </c>
      <c r="X1323" s="238">
        <f t="shared" si="1239"/>
        <v>0</v>
      </c>
    </row>
    <row r="1324" spans="1:24" s="229" customFormat="1" hidden="1">
      <c r="A1324" s="235" t="s">
        <v>83</v>
      </c>
      <c r="B1324" s="227" t="s">
        <v>402</v>
      </c>
      <c r="C1324" s="227" t="s">
        <v>18</v>
      </c>
      <c r="D1324" s="227" t="s">
        <v>13</v>
      </c>
      <c r="E1324" s="227" t="s">
        <v>82</v>
      </c>
      <c r="F1324" s="227" t="s">
        <v>70</v>
      </c>
      <c r="G1324" s="227" t="s">
        <v>148</v>
      </c>
      <c r="H1324" s="227" t="s">
        <v>149</v>
      </c>
      <c r="I1324" s="237"/>
      <c r="J1324" s="238"/>
      <c r="K1324" s="238"/>
      <c r="L1324" s="238"/>
      <c r="M1324" s="238"/>
      <c r="N1324" s="238"/>
      <c r="O1324" s="238"/>
      <c r="P1324" s="238">
        <f>P1325+P1328</f>
        <v>521376</v>
      </c>
      <c r="Q1324" s="238">
        <f t="shared" ref="Q1324:U1324" si="1244">Q1325+Q1328</f>
        <v>533421.56000000006</v>
      </c>
      <c r="R1324" s="238">
        <f t="shared" si="1244"/>
        <v>484837.95</v>
      </c>
      <c r="S1324" s="238">
        <f t="shared" si="1244"/>
        <v>0</v>
      </c>
      <c r="T1324" s="238">
        <f t="shared" si="1244"/>
        <v>0</v>
      </c>
      <c r="U1324" s="238">
        <f t="shared" si="1244"/>
        <v>0</v>
      </c>
      <c r="V1324" s="238">
        <f t="shared" si="1239"/>
        <v>521376</v>
      </c>
      <c r="W1324" s="238">
        <f t="shared" si="1239"/>
        <v>533421.56000000006</v>
      </c>
      <c r="X1324" s="238">
        <f t="shared" si="1239"/>
        <v>484837.95</v>
      </c>
    </row>
    <row r="1325" spans="1:24" s="229" customFormat="1" ht="14.25" hidden="1">
      <c r="A1325" s="283" t="s">
        <v>362</v>
      </c>
      <c r="B1325" s="227" t="s">
        <v>402</v>
      </c>
      <c r="C1325" s="227" t="s">
        <v>18</v>
      </c>
      <c r="D1325" s="227" t="s">
        <v>13</v>
      </c>
      <c r="E1325" s="227" t="s">
        <v>82</v>
      </c>
      <c r="F1325" s="227" t="s">
        <v>70</v>
      </c>
      <c r="G1325" s="227" t="s">
        <v>148</v>
      </c>
      <c r="H1325" s="227" t="s">
        <v>361</v>
      </c>
      <c r="I1325" s="237"/>
      <c r="J1325" s="238"/>
      <c r="K1325" s="238"/>
      <c r="L1325" s="238"/>
      <c r="M1325" s="238"/>
      <c r="N1325" s="238"/>
      <c r="O1325" s="238"/>
      <c r="P1325" s="238">
        <f>P1326</f>
        <v>22981</v>
      </c>
      <c r="Q1325" s="238">
        <f t="shared" ref="Q1325:U1326" si="1245">Q1326</f>
        <v>22981</v>
      </c>
      <c r="R1325" s="238">
        <f t="shared" si="1245"/>
        <v>22981</v>
      </c>
      <c r="S1325" s="238">
        <f t="shared" si="1245"/>
        <v>0</v>
      </c>
      <c r="T1325" s="238">
        <f t="shared" si="1245"/>
        <v>0</v>
      </c>
      <c r="U1325" s="238">
        <f t="shared" si="1245"/>
        <v>0</v>
      </c>
      <c r="V1325" s="238">
        <f t="shared" si="1239"/>
        <v>22981</v>
      </c>
      <c r="W1325" s="238">
        <f t="shared" si="1239"/>
        <v>22981</v>
      </c>
      <c r="X1325" s="238">
        <f t="shared" si="1239"/>
        <v>22981</v>
      </c>
    </row>
    <row r="1326" spans="1:24" s="229" customFormat="1" ht="25.5" hidden="1">
      <c r="A1326" s="240" t="s">
        <v>260</v>
      </c>
      <c r="B1326" s="227" t="s">
        <v>402</v>
      </c>
      <c r="C1326" s="227" t="s">
        <v>18</v>
      </c>
      <c r="D1326" s="227" t="s">
        <v>13</v>
      </c>
      <c r="E1326" s="227" t="s">
        <v>82</v>
      </c>
      <c r="F1326" s="227" t="s">
        <v>70</v>
      </c>
      <c r="G1326" s="227" t="s">
        <v>148</v>
      </c>
      <c r="H1326" s="227" t="s">
        <v>361</v>
      </c>
      <c r="I1326" s="237" t="s">
        <v>94</v>
      </c>
      <c r="J1326" s="238"/>
      <c r="K1326" s="238"/>
      <c r="L1326" s="238"/>
      <c r="M1326" s="238"/>
      <c r="N1326" s="238"/>
      <c r="O1326" s="238"/>
      <c r="P1326" s="238">
        <f>P1327</f>
        <v>22981</v>
      </c>
      <c r="Q1326" s="238">
        <f t="shared" si="1245"/>
        <v>22981</v>
      </c>
      <c r="R1326" s="238">
        <f t="shared" si="1245"/>
        <v>22981</v>
      </c>
      <c r="S1326" s="238">
        <f t="shared" si="1245"/>
        <v>0</v>
      </c>
      <c r="T1326" s="238">
        <f t="shared" si="1245"/>
        <v>0</v>
      </c>
      <c r="U1326" s="238">
        <f t="shared" si="1245"/>
        <v>0</v>
      </c>
      <c r="V1326" s="238">
        <f t="shared" si="1239"/>
        <v>22981</v>
      </c>
      <c r="W1326" s="238">
        <f t="shared" si="1239"/>
        <v>22981</v>
      </c>
      <c r="X1326" s="238">
        <f t="shared" si="1239"/>
        <v>22981</v>
      </c>
    </row>
    <row r="1327" spans="1:24" s="229" customFormat="1" ht="25.5" hidden="1">
      <c r="A1327" s="239" t="s">
        <v>98</v>
      </c>
      <c r="B1327" s="227" t="s">
        <v>402</v>
      </c>
      <c r="C1327" s="227" t="s">
        <v>18</v>
      </c>
      <c r="D1327" s="227" t="s">
        <v>13</v>
      </c>
      <c r="E1327" s="227" t="s">
        <v>82</v>
      </c>
      <c r="F1327" s="227" t="s">
        <v>70</v>
      </c>
      <c r="G1327" s="227" t="s">
        <v>148</v>
      </c>
      <c r="H1327" s="227" t="s">
        <v>361</v>
      </c>
      <c r="I1327" s="237" t="s">
        <v>95</v>
      </c>
      <c r="J1327" s="238"/>
      <c r="K1327" s="238"/>
      <c r="L1327" s="238"/>
      <c r="M1327" s="238"/>
      <c r="N1327" s="238"/>
      <c r="O1327" s="238"/>
      <c r="P1327" s="238">
        <v>22981</v>
      </c>
      <c r="Q1327" s="238">
        <v>22981</v>
      </c>
      <c r="R1327" s="238">
        <v>22981</v>
      </c>
      <c r="S1327" s="238"/>
      <c r="T1327" s="238"/>
      <c r="U1327" s="238"/>
      <c r="V1327" s="238">
        <f t="shared" si="1239"/>
        <v>22981</v>
      </c>
      <c r="W1327" s="238">
        <f t="shared" si="1239"/>
        <v>22981</v>
      </c>
      <c r="X1327" s="238">
        <f t="shared" si="1239"/>
        <v>22981</v>
      </c>
    </row>
    <row r="1328" spans="1:24" s="229" customFormat="1" hidden="1">
      <c r="A1328" s="239" t="s">
        <v>367</v>
      </c>
      <c r="B1328" s="227" t="s">
        <v>402</v>
      </c>
      <c r="C1328" s="227" t="s">
        <v>18</v>
      </c>
      <c r="D1328" s="227" t="s">
        <v>13</v>
      </c>
      <c r="E1328" s="227" t="s">
        <v>82</v>
      </c>
      <c r="F1328" s="227" t="s">
        <v>70</v>
      </c>
      <c r="G1328" s="227" t="s">
        <v>148</v>
      </c>
      <c r="H1328" s="227" t="s">
        <v>360</v>
      </c>
      <c r="I1328" s="237"/>
      <c r="J1328" s="238"/>
      <c r="K1328" s="238"/>
      <c r="L1328" s="238"/>
      <c r="M1328" s="238"/>
      <c r="N1328" s="238"/>
      <c r="O1328" s="238"/>
      <c r="P1328" s="238">
        <f>P1329</f>
        <v>498395</v>
      </c>
      <c r="Q1328" s="238">
        <f t="shared" ref="Q1328:U1329" si="1246">Q1329</f>
        <v>510440.56</v>
      </c>
      <c r="R1328" s="238">
        <f t="shared" si="1246"/>
        <v>461856.95</v>
      </c>
      <c r="S1328" s="238">
        <f t="shared" si="1246"/>
        <v>0</v>
      </c>
      <c r="T1328" s="238">
        <f t="shared" si="1246"/>
        <v>0</v>
      </c>
      <c r="U1328" s="238">
        <f t="shared" si="1246"/>
        <v>0</v>
      </c>
      <c r="V1328" s="238">
        <f t="shared" si="1239"/>
        <v>498395</v>
      </c>
      <c r="W1328" s="238">
        <f t="shared" si="1239"/>
        <v>510440.56</v>
      </c>
      <c r="X1328" s="238">
        <f t="shared" si="1239"/>
        <v>461856.95</v>
      </c>
    </row>
    <row r="1329" spans="1:24" s="229" customFormat="1" ht="25.5" hidden="1">
      <c r="A1329" s="240" t="s">
        <v>260</v>
      </c>
      <c r="B1329" s="227" t="s">
        <v>402</v>
      </c>
      <c r="C1329" s="227" t="s">
        <v>18</v>
      </c>
      <c r="D1329" s="227" t="s">
        <v>13</v>
      </c>
      <c r="E1329" s="227" t="s">
        <v>82</v>
      </c>
      <c r="F1329" s="227" t="s">
        <v>70</v>
      </c>
      <c r="G1329" s="227" t="s">
        <v>148</v>
      </c>
      <c r="H1329" s="227" t="s">
        <v>360</v>
      </c>
      <c r="I1329" s="237" t="s">
        <v>94</v>
      </c>
      <c r="J1329" s="238"/>
      <c r="K1329" s="238"/>
      <c r="L1329" s="238"/>
      <c r="M1329" s="238"/>
      <c r="N1329" s="238"/>
      <c r="O1329" s="238"/>
      <c r="P1329" s="238">
        <f>P1330</f>
        <v>498395</v>
      </c>
      <c r="Q1329" s="238">
        <f t="shared" si="1246"/>
        <v>510440.56</v>
      </c>
      <c r="R1329" s="238">
        <f t="shared" si="1246"/>
        <v>461856.95</v>
      </c>
      <c r="S1329" s="238">
        <f t="shared" si="1246"/>
        <v>0</v>
      </c>
      <c r="T1329" s="238">
        <f t="shared" si="1246"/>
        <v>0</v>
      </c>
      <c r="U1329" s="238">
        <f t="shared" si="1246"/>
        <v>0</v>
      </c>
      <c r="V1329" s="238">
        <f t="shared" si="1239"/>
        <v>498395</v>
      </c>
      <c r="W1329" s="238">
        <f t="shared" si="1239"/>
        <v>510440.56</v>
      </c>
      <c r="X1329" s="238">
        <f t="shared" si="1239"/>
        <v>461856.95</v>
      </c>
    </row>
    <row r="1330" spans="1:24" s="229" customFormat="1" ht="25.5" hidden="1">
      <c r="A1330" s="239" t="s">
        <v>98</v>
      </c>
      <c r="B1330" s="227" t="s">
        <v>402</v>
      </c>
      <c r="C1330" s="227" t="s">
        <v>18</v>
      </c>
      <c r="D1330" s="227" t="s">
        <v>13</v>
      </c>
      <c r="E1330" s="227" t="s">
        <v>82</v>
      </c>
      <c r="F1330" s="227" t="s">
        <v>70</v>
      </c>
      <c r="G1330" s="227" t="s">
        <v>148</v>
      </c>
      <c r="H1330" s="227" t="s">
        <v>360</v>
      </c>
      <c r="I1330" s="237" t="s">
        <v>95</v>
      </c>
      <c r="J1330" s="238"/>
      <c r="K1330" s="238"/>
      <c r="L1330" s="238"/>
      <c r="M1330" s="238"/>
      <c r="N1330" s="238"/>
      <c r="O1330" s="238"/>
      <c r="P1330" s="238">
        <f>197256+301139</f>
        <v>498395</v>
      </c>
      <c r="Q1330" s="238">
        <f>278158+232282.56</f>
        <v>510440.56</v>
      </c>
      <c r="R1330" s="238">
        <f>278158+183698.95</f>
        <v>461856.95</v>
      </c>
      <c r="S1330" s="238"/>
      <c r="T1330" s="238"/>
      <c r="U1330" s="238"/>
      <c r="V1330" s="238">
        <f t="shared" si="1239"/>
        <v>498395</v>
      </c>
      <c r="W1330" s="238">
        <f t="shared" si="1239"/>
        <v>510440.56</v>
      </c>
      <c r="X1330" s="238">
        <f t="shared" si="1239"/>
        <v>461856.95</v>
      </c>
    </row>
    <row r="1331" spans="1:24" s="222" customFormat="1" ht="15.75" hidden="1">
      <c r="A1331" s="221" t="s">
        <v>463</v>
      </c>
      <c r="P1331" s="223">
        <f t="shared" ref="P1331:X1331" si="1247">P1332+P1348+P1356+P1362+P1373</f>
        <v>11678644.719999999</v>
      </c>
      <c r="Q1331" s="223">
        <f t="shared" si="1247"/>
        <v>7498146.9500000011</v>
      </c>
      <c r="R1331" s="223">
        <f t="shared" si="1247"/>
        <v>7424108.75</v>
      </c>
      <c r="S1331" s="223">
        <f t="shared" si="1247"/>
        <v>0</v>
      </c>
      <c r="T1331" s="223">
        <f t="shared" si="1247"/>
        <v>0</v>
      </c>
      <c r="U1331" s="223">
        <f t="shared" si="1247"/>
        <v>0</v>
      </c>
      <c r="V1331" s="223">
        <f t="shared" si="1247"/>
        <v>11678644.719999999</v>
      </c>
      <c r="W1331" s="223">
        <f t="shared" si="1247"/>
        <v>7498146.9500000011</v>
      </c>
      <c r="X1331" s="223">
        <f t="shared" si="1247"/>
        <v>7424108.75</v>
      </c>
    </row>
    <row r="1332" spans="1:24" s="229" customFormat="1" ht="15.75" hidden="1">
      <c r="A1332" s="225" t="s">
        <v>32</v>
      </c>
      <c r="B1332" s="226" t="s">
        <v>402</v>
      </c>
      <c r="C1332" s="226" t="s">
        <v>20</v>
      </c>
      <c r="D1332" s="227"/>
      <c r="E1332" s="227"/>
      <c r="F1332" s="227"/>
      <c r="G1332" s="227"/>
      <c r="H1332" s="227"/>
      <c r="I1332" s="227"/>
      <c r="J1332" s="228"/>
      <c r="K1332" s="228"/>
      <c r="L1332" s="228"/>
      <c r="M1332" s="228"/>
      <c r="N1332" s="228"/>
      <c r="O1332" s="228"/>
      <c r="P1332" s="228">
        <f t="shared" ref="P1332:U1332" si="1248">P1333+P1342</f>
        <v>7303365</v>
      </c>
      <c r="Q1332" s="228">
        <f t="shared" si="1248"/>
        <v>7036102.3100000005</v>
      </c>
      <c r="R1332" s="228">
        <f t="shared" si="1248"/>
        <v>7015803.9700000007</v>
      </c>
      <c r="S1332" s="228">
        <f t="shared" si="1248"/>
        <v>0</v>
      </c>
      <c r="T1332" s="228">
        <f t="shared" si="1248"/>
        <v>0</v>
      </c>
      <c r="U1332" s="228">
        <f t="shared" si="1248"/>
        <v>0</v>
      </c>
      <c r="V1332" s="228">
        <f t="shared" ref="V1332:X1347" si="1249">P1332+S1332</f>
        <v>7303365</v>
      </c>
      <c r="W1332" s="228">
        <f t="shared" si="1249"/>
        <v>7036102.3100000005</v>
      </c>
      <c r="X1332" s="228">
        <f t="shared" si="1249"/>
        <v>7015803.9700000007</v>
      </c>
    </row>
    <row r="1333" spans="1:24" s="229" customFormat="1" ht="38.25" hidden="1">
      <c r="A1333" s="230" t="s">
        <v>0</v>
      </c>
      <c r="B1333" s="231" t="s">
        <v>402</v>
      </c>
      <c r="C1333" s="231" t="s">
        <v>20</v>
      </c>
      <c r="D1333" s="231" t="s">
        <v>16</v>
      </c>
      <c r="E1333" s="231"/>
      <c r="F1333" s="231"/>
      <c r="G1333" s="231"/>
      <c r="H1333" s="227"/>
      <c r="I1333" s="237"/>
      <c r="J1333" s="234"/>
      <c r="K1333" s="234"/>
      <c r="L1333" s="234"/>
      <c r="M1333" s="234"/>
      <c r="N1333" s="234"/>
      <c r="O1333" s="234"/>
      <c r="P1333" s="234">
        <f>P1334</f>
        <v>6957365</v>
      </c>
      <c r="Q1333" s="234">
        <f t="shared" ref="Q1333:U1334" si="1250">Q1334</f>
        <v>7036102.3100000005</v>
      </c>
      <c r="R1333" s="234">
        <f t="shared" si="1250"/>
        <v>7015803.9700000007</v>
      </c>
      <c r="S1333" s="234">
        <f t="shared" si="1250"/>
        <v>0</v>
      </c>
      <c r="T1333" s="234">
        <f t="shared" si="1250"/>
        <v>0</v>
      </c>
      <c r="U1333" s="234">
        <f t="shared" si="1250"/>
        <v>0</v>
      </c>
      <c r="V1333" s="234">
        <f t="shared" si="1249"/>
        <v>6957365</v>
      </c>
      <c r="W1333" s="234">
        <f t="shared" si="1249"/>
        <v>7036102.3100000005</v>
      </c>
      <c r="X1333" s="234">
        <f t="shared" si="1249"/>
        <v>7015803.9700000007</v>
      </c>
    </row>
    <row r="1334" spans="1:24" s="229" customFormat="1" hidden="1">
      <c r="A1334" s="235" t="s">
        <v>83</v>
      </c>
      <c r="B1334" s="227" t="s">
        <v>402</v>
      </c>
      <c r="C1334" s="227" t="s">
        <v>20</v>
      </c>
      <c r="D1334" s="227" t="s">
        <v>16</v>
      </c>
      <c r="E1334" s="227" t="s">
        <v>82</v>
      </c>
      <c r="F1334" s="227" t="s">
        <v>70</v>
      </c>
      <c r="G1334" s="227" t="s">
        <v>148</v>
      </c>
      <c r="H1334" s="227" t="s">
        <v>149</v>
      </c>
      <c r="I1334" s="237"/>
      <c r="J1334" s="238"/>
      <c r="K1334" s="238"/>
      <c r="L1334" s="238"/>
      <c r="M1334" s="238"/>
      <c r="N1334" s="238"/>
      <c r="O1334" s="238"/>
      <c r="P1334" s="238">
        <f>P1335</f>
        <v>6957365</v>
      </c>
      <c r="Q1334" s="238">
        <f t="shared" si="1250"/>
        <v>7036102.3100000005</v>
      </c>
      <c r="R1334" s="238">
        <f t="shared" si="1250"/>
        <v>7015803.9700000007</v>
      </c>
      <c r="S1334" s="238">
        <f t="shared" si="1250"/>
        <v>0</v>
      </c>
      <c r="T1334" s="238">
        <f t="shared" si="1250"/>
        <v>0</v>
      </c>
      <c r="U1334" s="238">
        <f t="shared" si="1250"/>
        <v>0</v>
      </c>
      <c r="V1334" s="238">
        <f t="shared" si="1249"/>
        <v>6957365</v>
      </c>
      <c r="W1334" s="238">
        <f t="shared" si="1249"/>
        <v>7036102.3100000005</v>
      </c>
      <c r="X1334" s="238">
        <f t="shared" si="1249"/>
        <v>7015803.9700000007</v>
      </c>
    </row>
    <row r="1335" spans="1:24" s="229" customFormat="1" ht="25.5" hidden="1">
      <c r="A1335" s="235" t="s">
        <v>87</v>
      </c>
      <c r="B1335" s="227" t="s">
        <v>402</v>
      </c>
      <c r="C1335" s="227" t="s">
        <v>20</v>
      </c>
      <c r="D1335" s="227" t="s">
        <v>16</v>
      </c>
      <c r="E1335" s="227" t="s">
        <v>82</v>
      </c>
      <c r="F1335" s="227" t="s">
        <v>70</v>
      </c>
      <c r="G1335" s="227" t="s">
        <v>148</v>
      </c>
      <c r="H1335" s="227" t="s">
        <v>158</v>
      </c>
      <c r="I1335" s="237"/>
      <c r="J1335" s="238"/>
      <c r="K1335" s="238"/>
      <c r="L1335" s="238"/>
      <c r="M1335" s="238"/>
      <c r="N1335" s="238"/>
      <c r="O1335" s="238"/>
      <c r="P1335" s="238">
        <f>P1336+P1338+P1340</f>
        <v>6957365</v>
      </c>
      <c r="Q1335" s="238">
        <f t="shared" ref="Q1335:U1335" si="1251">Q1336+Q1338+Q1340</f>
        <v>7036102.3100000005</v>
      </c>
      <c r="R1335" s="238">
        <f t="shared" si="1251"/>
        <v>7015803.9700000007</v>
      </c>
      <c r="S1335" s="238">
        <f t="shared" si="1251"/>
        <v>0</v>
      </c>
      <c r="T1335" s="238">
        <f t="shared" si="1251"/>
        <v>0</v>
      </c>
      <c r="U1335" s="238">
        <f t="shared" si="1251"/>
        <v>0</v>
      </c>
      <c r="V1335" s="238">
        <f t="shared" si="1249"/>
        <v>6957365</v>
      </c>
      <c r="W1335" s="238">
        <f t="shared" si="1249"/>
        <v>7036102.3100000005</v>
      </c>
      <c r="X1335" s="238">
        <f t="shared" si="1249"/>
        <v>7015803.9700000007</v>
      </c>
    </row>
    <row r="1336" spans="1:24" s="229" customFormat="1" ht="38.25" hidden="1">
      <c r="A1336" s="239" t="s">
        <v>96</v>
      </c>
      <c r="B1336" s="227" t="s">
        <v>402</v>
      </c>
      <c r="C1336" s="227" t="s">
        <v>20</v>
      </c>
      <c r="D1336" s="227" t="s">
        <v>16</v>
      </c>
      <c r="E1336" s="227" t="s">
        <v>82</v>
      </c>
      <c r="F1336" s="227" t="s">
        <v>70</v>
      </c>
      <c r="G1336" s="227" t="s">
        <v>148</v>
      </c>
      <c r="H1336" s="227" t="s">
        <v>158</v>
      </c>
      <c r="I1336" s="237" t="s">
        <v>92</v>
      </c>
      <c r="J1336" s="238"/>
      <c r="K1336" s="238"/>
      <c r="L1336" s="238"/>
      <c r="M1336" s="238"/>
      <c r="N1336" s="238"/>
      <c r="O1336" s="238"/>
      <c r="P1336" s="238">
        <f>P1337</f>
        <v>6391894</v>
      </c>
      <c r="Q1336" s="238">
        <f t="shared" ref="Q1336:U1336" si="1252">Q1337</f>
        <v>6454238.5500000007</v>
      </c>
      <c r="R1336" s="238">
        <f t="shared" si="1252"/>
        <v>6452203.6600000001</v>
      </c>
      <c r="S1336" s="238">
        <f t="shared" si="1252"/>
        <v>0</v>
      </c>
      <c r="T1336" s="238">
        <f t="shared" si="1252"/>
        <v>0</v>
      </c>
      <c r="U1336" s="238">
        <f t="shared" si="1252"/>
        <v>0</v>
      </c>
      <c r="V1336" s="238">
        <f t="shared" si="1249"/>
        <v>6391894</v>
      </c>
      <c r="W1336" s="238">
        <f t="shared" si="1249"/>
        <v>6454238.5500000007</v>
      </c>
      <c r="X1336" s="238">
        <f t="shared" si="1249"/>
        <v>6452203.6600000001</v>
      </c>
    </row>
    <row r="1337" spans="1:24" s="229" customFormat="1" hidden="1">
      <c r="A1337" s="239" t="s">
        <v>103</v>
      </c>
      <c r="B1337" s="227" t="s">
        <v>402</v>
      </c>
      <c r="C1337" s="227" t="s">
        <v>20</v>
      </c>
      <c r="D1337" s="227" t="s">
        <v>16</v>
      </c>
      <c r="E1337" s="227" t="s">
        <v>82</v>
      </c>
      <c r="F1337" s="227" t="s">
        <v>70</v>
      </c>
      <c r="G1337" s="227" t="s">
        <v>148</v>
      </c>
      <c r="H1337" s="227" t="s">
        <v>158</v>
      </c>
      <c r="I1337" s="237" t="s">
        <v>102</v>
      </c>
      <c r="J1337" s="238"/>
      <c r="K1337" s="238"/>
      <c r="L1337" s="238"/>
      <c r="M1337" s="238"/>
      <c r="N1337" s="238"/>
      <c r="O1337" s="238"/>
      <c r="P1337" s="238">
        <f>4788145.47+157728+1446020.53</f>
        <v>6391894</v>
      </c>
      <c r="Q1337" s="238">
        <f>4836029.61+157728+1460480.94</f>
        <v>6454238.5500000007</v>
      </c>
      <c r="R1337" s="238">
        <f>4884389.91+92728+1475085.75</f>
        <v>6452203.6600000001</v>
      </c>
      <c r="S1337" s="238"/>
      <c r="T1337" s="238"/>
      <c r="U1337" s="238"/>
      <c r="V1337" s="238">
        <f t="shared" si="1249"/>
        <v>6391894</v>
      </c>
      <c r="W1337" s="238">
        <f t="shared" si="1249"/>
        <v>6454238.5500000007</v>
      </c>
      <c r="X1337" s="238">
        <f t="shared" si="1249"/>
        <v>6452203.6600000001</v>
      </c>
    </row>
    <row r="1338" spans="1:24" s="229" customFormat="1" ht="25.5" hidden="1">
      <c r="A1338" s="240" t="s">
        <v>260</v>
      </c>
      <c r="B1338" s="227" t="s">
        <v>402</v>
      </c>
      <c r="C1338" s="227" t="s">
        <v>20</v>
      </c>
      <c r="D1338" s="227" t="s">
        <v>16</v>
      </c>
      <c r="E1338" s="227" t="s">
        <v>82</v>
      </c>
      <c r="F1338" s="227" t="s">
        <v>70</v>
      </c>
      <c r="G1338" s="227" t="s">
        <v>148</v>
      </c>
      <c r="H1338" s="227" t="s">
        <v>158</v>
      </c>
      <c r="I1338" s="237" t="s">
        <v>94</v>
      </c>
      <c r="J1338" s="238"/>
      <c r="K1338" s="238"/>
      <c r="L1338" s="238"/>
      <c r="M1338" s="238"/>
      <c r="N1338" s="238"/>
      <c r="O1338" s="238"/>
      <c r="P1338" s="238">
        <f>P1339</f>
        <v>557471</v>
      </c>
      <c r="Q1338" s="238">
        <f t="shared" ref="Q1338:U1338" si="1253">Q1339</f>
        <v>573863.76</v>
      </c>
      <c r="R1338" s="238">
        <f t="shared" si="1253"/>
        <v>555600.31000000006</v>
      </c>
      <c r="S1338" s="238">
        <f t="shared" si="1253"/>
        <v>0</v>
      </c>
      <c r="T1338" s="238">
        <f t="shared" si="1253"/>
        <v>0</v>
      </c>
      <c r="U1338" s="238">
        <f t="shared" si="1253"/>
        <v>0</v>
      </c>
      <c r="V1338" s="238">
        <f t="shared" si="1249"/>
        <v>557471</v>
      </c>
      <c r="W1338" s="238">
        <f t="shared" si="1249"/>
        <v>573863.76</v>
      </c>
      <c r="X1338" s="238">
        <f t="shared" si="1249"/>
        <v>555600.31000000006</v>
      </c>
    </row>
    <row r="1339" spans="1:24" s="229" customFormat="1" ht="25.5" hidden="1">
      <c r="A1339" s="239" t="s">
        <v>98</v>
      </c>
      <c r="B1339" s="227" t="s">
        <v>402</v>
      </c>
      <c r="C1339" s="227" t="s">
        <v>20</v>
      </c>
      <c r="D1339" s="227" t="s">
        <v>16</v>
      </c>
      <c r="E1339" s="227" t="s">
        <v>82</v>
      </c>
      <c r="F1339" s="227" t="s">
        <v>70</v>
      </c>
      <c r="G1339" s="227" t="s">
        <v>148</v>
      </c>
      <c r="H1339" s="227" t="s">
        <v>158</v>
      </c>
      <c r="I1339" s="237" t="s">
        <v>95</v>
      </c>
      <c r="J1339" s="238"/>
      <c r="K1339" s="238"/>
      <c r="L1339" s="238"/>
      <c r="M1339" s="238"/>
      <c r="N1339" s="238"/>
      <c r="O1339" s="238"/>
      <c r="P1339" s="238">
        <f>540314+17157</f>
        <v>557471</v>
      </c>
      <c r="Q1339" s="238">
        <f>556020.48+17843.28</f>
        <v>573863.76</v>
      </c>
      <c r="R1339" s="238">
        <f>112286+443314.31</f>
        <v>555600.31000000006</v>
      </c>
      <c r="S1339" s="238"/>
      <c r="T1339" s="238"/>
      <c r="U1339" s="238"/>
      <c r="V1339" s="238">
        <f t="shared" si="1249"/>
        <v>557471</v>
      </c>
      <c r="W1339" s="238">
        <f t="shared" si="1249"/>
        <v>573863.76</v>
      </c>
      <c r="X1339" s="238">
        <f t="shared" si="1249"/>
        <v>555600.31000000006</v>
      </c>
    </row>
    <row r="1340" spans="1:24" s="229" customFormat="1" hidden="1">
      <c r="A1340" s="239" t="s">
        <v>80</v>
      </c>
      <c r="B1340" s="227" t="s">
        <v>402</v>
      </c>
      <c r="C1340" s="227" t="s">
        <v>20</v>
      </c>
      <c r="D1340" s="227" t="s">
        <v>16</v>
      </c>
      <c r="E1340" s="227" t="s">
        <v>82</v>
      </c>
      <c r="F1340" s="227" t="s">
        <v>70</v>
      </c>
      <c r="G1340" s="227" t="s">
        <v>148</v>
      </c>
      <c r="H1340" s="227" t="s">
        <v>158</v>
      </c>
      <c r="I1340" s="237" t="s">
        <v>77</v>
      </c>
      <c r="J1340" s="238"/>
      <c r="K1340" s="238"/>
      <c r="L1340" s="238"/>
      <c r="M1340" s="238"/>
      <c r="N1340" s="238"/>
      <c r="O1340" s="238"/>
      <c r="P1340" s="238">
        <f>P1341</f>
        <v>8000</v>
      </c>
      <c r="Q1340" s="238">
        <f t="shared" ref="Q1340:U1340" si="1254">Q1341</f>
        <v>8000</v>
      </c>
      <c r="R1340" s="238">
        <f t="shared" si="1254"/>
        <v>8000</v>
      </c>
      <c r="S1340" s="238">
        <f t="shared" si="1254"/>
        <v>0</v>
      </c>
      <c r="T1340" s="238">
        <f t="shared" si="1254"/>
        <v>0</v>
      </c>
      <c r="U1340" s="238">
        <f t="shared" si="1254"/>
        <v>0</v>
      </c>
      <c r="V1340" s="238">
        <f t="shared" si="1249"/>
        <v>8000</v>
      </c>
      <c r="W1340" s="238">
        <f t="shared" si="1249"/>
        <v>8000</v>
      </c>
      <c r="X1340" s="238">
        <f t="shared" si="1249"/>
        <v>8000</v>
      </c>
    </row>
    <row r="1341" spans="1:24" s="229" customFormat="1" hidden="1">
      <c r="A1341" s="241" t="s">
        <v>125</v>
      </c>
      <c r="B1341" s="227" t="s">
        <v>402</v>
      </c>
      <c r="C1341" s="227" t="s">
        <v>20</v>
      </c>
      <c r="D1341" s="227" t="s">
        <v>16</v>
      </c>
      <c r="E1341" s="227" t="s">
        <v>82</v>
      </c>
      <c r="F1341" s="227" t="s">
        <v>70</v>
      </c>
      <c r="G1341" s="227" t="s">
        <v>148</v>
      </c>
      <c r="H1341" s="227" t="s">
        <v>158</v>
      </c>
      <c r="I1341" s="237" t="s">
        <v>124</v>
      </c>
      <c r="J1341" s="238"/>
      <c r="K1341" s="238"/>
      <c r="L1341" s="238"/>
      <c r="M1341" s="238"/>
      <c r="N1341" s="238"/>
      <c r="O1341" s="238"/>
      <c r="P1341" s="238">
        <f>500+7000+500</f>
        <v>8000</v>
      </c>
      <c r="Q1341" s="238">
        <v>8000</v>
      </c>
      <c r="R1341" s="238">
        <v>8000</v>
      </c>
      <c r="S1341" s="238"/>
      <c r="T1341" s="238"/>
      <c r="U1341" s="238"/>
      <c r="V1341" s="238">
        <f t="shared" si="1249"/>
        <v>8000</v>
      </c>
      <c r="W1341" s="238">
        <f t="shared" si="1249"/>
        <v>8000</v>
      </c>
      <c r="X1341" s="238">
        <f t="shared" si="1249"/>
        <v>8000</v>
      </c>
    </row>
    <row r="1342" spans="1:24" s="229" customFormat="1" hidden="1">
      <c r="A1342" s="230" t="s">
        <v>1</v>
      </c>
      <c r="B1342" s="231" t="s">
        <v>402</v>
      </c>
      <c r="C1342" s="231" t="s">
        <v>20</v>
      </c>
      <c r="D1342" s="231" t="s">
        <v>49</v>
      </c>
      <c r="E1342" s="231"/>
      <c r="F1342" s="231"/>
      <c r="G1342" s="231"/>
      <c r="H1342" s="227"/>
      <c r="I1342" s="237"/>
      <c r="J1342" s="234"/>
      <c r="K1342" s="234"/>
      <c r="L1342" s="234"/>
      <c r="M1342" s="234"/>
      <c r="N1342" s="234"/>
      <c r="O1342" s="234"/>
      <c r="P1342" s="234">
        <f>P1343</f>
        <v>346000</v>
      </c>
      <c r="Q1342" s="234">
        <f t="shared" ref="Q1342:U1346" si="1255">Q1343</f>
        <v>0</v>
      </c>
      <c r="R1342" s="234">
        <f t="shared" si="1255"/>
        <v>0</v>
      </c>
      <c r="S1342" s="234">
        <f t="shared" si="1255"/>
        <v>0</v>
      </c>
      <c r="T1342" s="234">
        <f t="shared" si="1255"/>
        <v>0</v>
      </c>
      <c r="U1342" s="234">
        <f t="shared" si="1255"/>
        <v>0</v>
      </c>
      <c r="V1342" s="234">
        <f t="shared" si="1249"/>
        <v>346000</v>
      </c>
      <c r="W1342" s="234">
        <f t="shared" si="1249"/>
        <v>0</v>
      </c>
      <c r="X1342" s="234">
        <f t="shared" si="1249"/>
        <v>0</v>
      </c>
    </row>
    <row r="1343" spans="1:24" s="229" customFormat="1" ht="38.25" hidden="1">
      <c r="A1343" s="235" t="s">
        <v>289</v>
      </c>
      <c r="B1343" s="243" t="s">
        <v>402</v>
      </c>
      <c r="C1343" s="243" t="s">
        <v>20</v>
      </c>
      <c r="D1343" s="243" t="s">
        <v>49</v>
      </c>
      <c r="E1343" s="243" t="s">
        <v>27</v>
      </c>
      <c r="F1343" s="243" t="s">
        <v>70</v>
      </c>
      <c r="G1343" s="243" t="s">
        <v>148</v>
      </c>
      <c r="H1343" s="227" t="s">
        <v>149</v>
      </c>
      <c r="I1343" s="237"/>
      <c r="J1343" s="244"/>
      <c r="K1343" s="244"/>
      <c r="L1343" s="244"/>
      <c r="M1343" s="244"/>
      <c r="N1343" s="244"/>
      <c r="O1343" s="244"/>
      <c r="P1343" s="244">
        <f>P1344</f>
        <v>346000</v>
      </c>
      <c r="Q1343" s="244">
        <f t="shared" si="1255"/>
        <v>0</v>
      </c>
      <c r="R1343" s="244">
        <f t="shared" si="1255"/>
        <v>0</v>
      </c>
      <c r="S1343" s="244">
        <f t="shared" si="1255"/>
        <v>0</v>
      </c>
      <c r="T1343" s="244">
        <f t="shared" si="1255"/>
        <v>0</v>
      </c>
      <c r="U1343" s="244">
        <f t="shared" si="1255"/>
        <v>0</v>
      </c>
      <c r="V1343" s="244">
        <f t="shared" si="1249"/>
        <v>346000</v>
      </c>
      <c r="W1343" s="244">
        <f t="shared" si="1249"/>
        <v>0</v>
      </c>
      <c r="X1343" s="244">
        <f t="shared" si="1249"/>
        <v>0</v>
      </c>
    </row>
    <row r="1344" spans="1:24" s="229" customFormat="1" hidden="1">
      <c r="A1344" s="235" t="s">
        <v>211</v>
      </c>
      <c r="B1344" s="243" t="s">
        <v>402</v>
      </c>
      <c r="C1344" s="243" t="s">
        <v>20</v>
      </c>
      <c r="D1344" s="243" t="s">
        <v>49</v>
      </c>
      <c r="E1344" s="243" t="s">
        <v>27</v>
      </c>
      <c r="F1344" s="243" t="s">
        <v>44</v>
      </c>
      <c r="G1344" s="243" t="s">
        <v>148</v>
      </c>
      <c r="H1344" s="227" t="s">
        <v>149</v>
      </c>
      <c r="I1344" s="237"/>
      <c r="J1344" s="244"/>
      <c r="K1344" s="244"/>
      <c r="L1344" s="244"/>
      <c r="M1344" s="244"/>
      <c r="N1344" s="244"/>
      <c r="O1344" s="244"/>
      <c r="P1344" s="244">
        <f>P1345</f>
        <v>346000</v>
      </c>
      <c r="Q1344" s="244">
        <f t="shared" si="1255"/>
        <v>0</v>
      </c>
      <c r="R1344" s="244">
        <f t="shared" si="1255"/>
        <v>0</v>
      </c>
      <c r="S1344" s="244">
        <f t="shared" si="1255"/>
        <v>0</v>
      </c>
      <c r="T1344" s="244">
        <f t="shared" si="1255"/>
        <v>0</v>
      </c>
      <c r="U1344" s="244">
        <f t="shared" si="1255"/>
        <v>0</v>
      </c>
      <c r="V1344" s="244">
        <f t="shared" si="1249"/>
        <v>346000</v>
      </c>
      <c r="W1344" s="244">
        <f t="shared" si="1249"/>
        <v>0</v>
      </c>
      <c r="X1344" s="244">
        <f t="shared" si="1249"/>
        <v>0</v>
      </c>
    </row>
    <row r="1345" spans="1:24" s="229" customFormat="1" ht="25.5" hidden="1">
      <c r="A1345" s="268" t="s">
        <v>312</v>
      </c>
      <c r="B1345" s="243" t="s">
        <v>402</v>
      </c>
      <c r="C1345" s="243" t="s">
        <v>20</v>
      </c>
      <c r="D1345" s="243" t="s">
        <v>49</v>
      </c>
      <c r="E1345" s="243" t="s">
        <v>27</v>
      </c>
      <c r="F1345" s="243" t="s">
        <v>44</v>
      </c>
      <c r="G1345" s="243" t="s">
        <v>148</v>
      </c>
      <c r="H1345" s="227" t="s">
        <v>311</v>
      </c>
      <c r="I1345" s="237"/>
      <c r="J1345" s="244"/>
      <c r="K1345" s="244"/>
      <c r="L1345" s="244"/>
      <c r="M1345" s="244"/>
      <c r="N1345" s="244"/>
      <c r="O1345" s="244"/>
      <c r="P1345" s="244">
        <f>P1346</f>
        <v>346000</v>
      </c>
      <c r="Q1345" s="244">
        <f t="shared" si="1255"/>
        <v>0</v>
      </c>
      <c r="R1345" s="244">
        <f t="shared" si="1255"/>
        <v>0</v>
      </c>
      <c r="S1345" s="244">
        <f t="shared" si="1255"/>
        <v>0</v>
      </c>
      <c r="T1345" s="244">
        <f t="shared" si="1255"/>
        <v>0</v>
      </c>
      <c r="U1345" s="244">
        <f t="shared" si="1255"/>
        <v>0</v>
      </c>
      <c r="V1345" s="244">
        <f t="shared" si="1249"/>
        <v>346000</v>
      </c>
      <c r="W1345" s="244">
        <f t="shared" si="1249"/>
        <v>0</v>
      </c>
      <c r="X1345" s="244">
        <f t="shared" si="1249"/>
        <v>0</v>
      </c>
    </row>
    <row r="1346" spans="1:24" s="229" customFormat="1" ht="25.5" hidden="1">
      <c r="A1346" s="240" t="s">
        <v>260</v>
      </c>
      <c r="B1346" s="243" t="s">
        <v>402</v>
      </c>
      <c r="C1346" s="243" t="s">
        <v>20</v>
      </c>
      <c r="D1346" s="243" t="s">
        <v>49</v>
      </c>
      <c r="E1346" s="243" t="s">
        <v>27</v>
      </c>
      <c r="F1346" s="243" t="s">
        <v>44</v>
      </c>
      <c r="G1346" s="243" t="s">
        <v>148</v>
      </c>
      <c r="H1346" s="227" t="s">
        <v>311</v>
      </c>
      <c r="I1346" s="237" t="s">
        <v>94</v>
      </c>
      <c r="J1346" s="244"/>
      <c r="K1346" s="244"/>
      <c r="L1346" s="244"/>
      <c r="M1346" s="244"/>
      <c r="N1346" s="244"/>
      <c r="O1346" s="244"/>
      <c r="P1346" s="244">
        <f>P1347</f>
        <v>346000</v>
      </c>
      <c r="Q1346" s="244">
        <f t="shared" si="1255"/>
        <v>0</v>
      </c>
      <c r="R1346" s="244">
        <f t="shared" si="1255"/>
        <v>0</v>
      </c>
      <c r="S1346" s="244">
        <f t="shared" si="1255"/>
        <v>0</v>
      </c>
      <c r="T1346" s="244">
        <f t="shared" si="1255"/>
        <v>0</v>
      </c>
      <c r="U1346" s="244">
        <f t="shared" si="1255"/>
        <v>0</v>
      </c>
      <c r="V1346" s="244">
        <f t="shared" si="1249"/>
        <v>346000</v>
      </c>
      <c r="W1346" s="244">
        <f t="shared" si="1249"/>
        <v>0</v>
      </c>
      <c r="X1346" s="244">
        <f t="shared" si="1249"/>
        <v>0</v>
      </c>
    </row>
    <row r="1347" spans="1:24" s="229" customFormat="1" ht="25.5" hidden="1">
      <c r="A1347" s="239" t="s">
        <v>98</v>
      </c>
      <c r="B1347" s="243" t="s">
        <v>402</v>
      </c>
      <c r="C1347" s="243" t="s">
        <v>20</v>
      </c>
      <c r="D1347" s="243" t="s">
        <v>49</v>
      </c>
      <c r="E1347" s="243" t="s">
        <v>27</v>
      </c>
      <c r="F1347" s="243" t="s">
        <v>44</v>
      </c>
      <c r="G1347" s="243" t="s">
        <v>148</v>
      </c>
      <c r="H1347" s="227" t="s">
        <v>311</v>
      </c>
      <c r="I1347" s="237" t="s">
        <v>95</v>
      </c>
      <c r="J1347" s="244"/>
      <c r="K1347" s="244"/>
      <c r="L1347" s="244"/>
      <c r="M1347" s="244"/>
      <c r="N1347" s="244"/>
      <c r="O1347" s="244"/>
      <c r="P1347" s="244">
        <v>346000</v>
      </c>
      <c r="Q1347" s="244">
        <f t="shared" ref="Q1347:R1347" si="1256">K1347+N1347</f>
        <v>0</v>
      </c>
      <c r="R1347" s="244">
        <f t="shared" si="1256"/>
        <v>0</v>
      </c>
      <c r="S1347" s="244"/>
      <c r="T1347" s="244"/>
      <c r="U1347" s="244"/>
      <c r="V1347" s="244">
        <f t="shared" si="1249"/>
        <v>346000</v>
      </c>
      <c r="W1347" s="244">
        <f t="shared" si="1249"/>
        <v>0</v>
      </c>
      <c r="X1347" s="244">
        <f t="shared" si="1249"/>
        <v>0</v>
      </c>
    </row>
    <row r="1348" spans="1:24" s="229" customFormat="1" ht="15.75" hidden="1">
      <c r="A1348" s="249" t="s">
        <v>54</v>
      </c>
      <c r="B1348" s="226" t="s">
        <v>402</v>
      </c>
      <c r="C1348" s="226" t="s">
        <v>17</v>
      </c>
      <c r="D1348" s="227"/>
      <c r="E1348" s="227"/>
      <c r="F1348" s="227"/>
      <c r="G1348" s="227"/>
      <c r="H1348" s="227"/>
      <c r="I1348" s="237"/>
      <c r="J1348" s="228"/>
      <c r="K1348" s="228"/>
      <c r="L1348" s="228"/>
      <c r="M1348" s="228"/>
      <c r="N1348" s="228"/>
      <c r="O1348" s="228"/>
      <c r="P1348" s="228">
        <f>P1349</f>
        <v>63322.720000000001</v>
      </c>
      <c r="Q1348" s="228">
        <f t="shared" ref="Q1348:U1350" si="1257">Q1349</f>
        <v>0</v>
      </c>
      <c r="R1348" s="228">
        <f t="shared" si="1257"/>
        <v>0</v>
      </c>
      <c r="S1348" s="228">
        <f t="shared" si="1257"/>
        <v>0</v>
      </c>
      <c r="T1348" s="228">
        <f t="shared" si="1257"/>
        <v>0</v>
      </c>
      <c r="U1348" s="228">
        <f t="shared" si="1257"/>
        <v>0</v>
      </c>
      <c r="V1348" s="228">
        <f t="shared" ref="V1348:X1363" si="1258">P1348+S1348</f>
        <v>63322.720000000001</v>
      </c>
      <c r="W1348" s="228">
        <f t="shared" si="1258"/>
        <v>0</v>
      </c>
      <c r="X1348" s="228">
        <f t="shared" si="1258"/>
        <v>0</v>
      </c>
    </row>
    <row r="1349" spans="1:24" s="229" customFormat="1" hidden="1">
      <c r="A1349" s="250" t="s">
        <v>55</v>
      </c>
      <c r="B1349" s="232" t="s">
        <v>402</v>
      </c>
      <c r="C1349" s="232" t="s">
        <v>17</v>
      </c>
      <c r="D1349" s="232" t="s">
        <v>13</v>
      </c>
      <c r="E1349" s="232"/>
      <c r="F1349" s="232"/>
      <c r="G1349" s="232"/>
      <c r="H1349" s="232"/>
      <c r="I1349" s="233"/>
      <c r="J1349" s="234"/>
      <c r="K1349" s="234"/>
      <c r="L1349" s="234"/>
      <c r="M1349" s="234"/>
      <c r="N1349" s="234"/>
      <c r="O1349" s="234"/>
      <c r="P1349" s="234">
        <f>P1350</f>
        <v>63322.720000000001</v>
      </c>
      <c r="Q1349" s="234">
        <f t="shared" si="1257"/>
        <v>0</v>
      </c>
      <c r="R1349" s="234">
        <f t="shared" si="1257"/>
        <v>0</v>
      </c>
      <c r="S1349" s="234">
        <f t="shared" si="1257"/>
        <v>0</v>
      </c>
      <c r="T1349" s="234">
        <f t="shared" si="1257"/>
        <v>0</v>
      </c>
      <c r="U1349" s="234">
        <f t="shared" si="1257"/>
        <v>0</v>
      </c>
      <c r="V1349" s="234">
        <f t="shared" si="1258"/>
        <v>63322.720000000001</v>
      </c>
      <c r="W1349" s="234">
        <f t="shared" si="1258"/>
        <v>0</v>
      </c>
      <c r="X1349" s="234">
        <f t="shared" si="1258"/>
        <v>0</v>
      </c>
    </row>
    <row r="1350" spans="1:24" s="229" customFormat="1" hidden="1">
      <c r="A1350" s="235" t="s">
        <v>83</v>
      </c>
      <c r="B1350" s="247" t="s">
        <v>402</v>
      </c>
      <c r="C1350" s="227" t="s">
        <v>17</v>
      </c>
      <c r="D1350" s="227" t="s">
        <v>13</v>
      </c>
      <c r="E1350" s="227" t="s">
        <v>82</v>
      </c>
      <c r="F1350" s="227" t="s">
        <v>70</v>
      </c>
      <c r="G1350" s="227" t="s">
        <v>148</v>
      </c>
      <c r="H1350" s="227" t="s">
        <v>149</v>
      </c>
      <c r="I1350" s="237"/>
      <c r="J1350" s="244"/>
      <c r="K1350" s="244"/>
      <c r="L1350" s="244"/>
      <c r="M1350" s="244"/>
      <c r="N1350" s="244"/>
      <c r="O1350" s="244"/>
      <c r="P1350" s="244">
        <f>P1351</f>
        <v>63322.720000000001</v>
      </c>
      <c r="Q1350" s="244">
        <f t="shared" si="1257"/>
        <v>0</v>
      </c>
      <c r="R1350" s="244">
        <f t="shared" si="1257"/>
        <v>0</v>
      </c>
      <c r="S1350" s="244">
        <f t="shared" si="1257"/>
        <v>0</v>
      </c>
      <c r="T1350" s="244">
        <f t="shared" si="1257"/>
        <v>0</v>
      </c>
      <c r="U1350" s="244">
        <f t="shared" si="1257"/>
        <v>0</v>
      </c>
      <c r="V1350" s="244">
        <f t="shared" si="1258"/>
        <v>63322.720000000001</v>
      </c>
      <c r="W1350" s="244">
        <f t="shared" si="1258"/>
        <v>0</v>
      </c>
      <c r="X1350" s="244">
        <f t="shared" si="1258"/>
        <v>0</v>
      </c>
    </row>
    <row r="1351" spans="1:24" s="229" customFormat="1" ht="25.5" hidden="1">
      <c r="A1351" s="235" t="s">
        <v>304</v>
      </c>
      <c r="B1351" s="247" t="s">
        <v>402</v>
      </c>
      <c r="C1351" s="227" t="s">
        <v>17</v>
      </c>
      <c r="D1351" s="227" t="s">
        <v>13</v>
      </c>
      <c r="E1351" s="227" t="s">
        <v>82</v>
      </c>
      <c r="F1351" s="227" t="s">
        <v>70</v>
      </c>
      <c r="G1351" s="227" t="s">
        <v>148</v>
      </c>
      <c r="H1351" s="227" t="s">
        <v>305</v>
      </c>
      <c r="I1351" s="237"/>
      <c r="J1351" s="244"/>
      <c r="K1351" s="244"/>
      <c r="L1351" s="244"/>
      <c r="M1351" s="244"/>
      <c r="N1351" s="244"/>
      <c r="O1351" s="244"/>
      <c r="P1351" s="244">
        <f>P1352+P1354</f>
        <v>63322.720000000001</v>
      </c>
      <c r="Q1351" s="244">
        <f t="shared" ref="Q1351:U1351" si="1259">Q1352+Q1354</f>
        <v>0</v>
      </c>
      <c r="R1351" s="244">
        <f t="shared" si="1259"/>
        <v>0</v>
      </c>
      <c r="S1351" s="244">
        <f t="shared" si="1259"/>
        <v>0</v>
      </c>
      <c r="T1351" s="244">
        <f t="shared" si="1259"/>
        <v>0</v>
      </c>
      <c r="U1351" s="244">
        <f t="shared" si="1259"/>
        <v>0</v>
      </c>
      <c r="V1351" s="244">
        <f t="shared" si="1258"/>
        <v>63322.720000000001</v>
      </c>
      <c r="W1351" s="244">
        <f t="shared" si="1258"/>
        <v>0</v>
      </c>
      <c r="X1351" s="244">
        <f t="shared" si="1258"/>
        <v>0</v>
      </c>
    </row>
    <row r="1352" spans="1:24" s="229" customFormat="1" ht="38.25" hidden="1">
      <c r="A1352" s="239" t="s">
        <v>96</v>
      </c>
      <c r="B1352" s="247" t="s">
        <v>402</v>
      </c>
      <c r="C1352" s="227" t="s">
        <v>17</v>
      </c>
      <c r="D1352" s="227" t="s">
        <v>13</v>
      </c>
      <c r="E1352" s="227" t="s">
        <v>82</v>
      </c>
      <c r="F1352" s="227" t="s">
        <v>70</v>
      </c>
      <c r="G1352" s="227" t="s">
        <v>148</v>
      </c>
      <c r="H1352" s="227" t="s">
        <v>305</v>
      </c>
      <c r="I1352" s="237" t="s">
        <v>92</v>
      </c>
      <c r="J1352" s="244"/>
      <c r="K1352" s="244"/>
      <c r="L1352" s="244"/>
      <c r="M1352" s="244"/>
      <c r="N1352" s="244"/>
      <c r="O1352" s="244"/>
      <c r="P1352" s="244">
        <f>P1353</f>
        <v>31248</v>
      </c>
      <c r="Q1352" s="244">
        <f t="shared" ref="Q1352:U1352" si="1260">Q1353</f>
        <v>0</v>
      </c>
      <c r="R1352" s="244">
        <f t="shared" si="1260"/>
        <v>0</v>
      </c>
      <c r="S1352" s="244">
        <f t="shared" si="1260"/>
        <v>0</v>
      </c>
      <c r="T1352" s="244">
        <f t="shared" si="1260"/>
        <v>0</v>
      </c>
      <c r="U1352" s="244">
        <f t="shared" si="1260"/>
        <v>0</v>
      </c>
      <c r="V1352" s="244">
        <f t="shared" si="1258"/>
        <v>31248</v>
      </c>
      <c r="W1352" s="244">
        <f t="shared" si="1258"/>
        <v>0</v>
      </c>
      <c r="X1352" s="244">
        <f t="shared" si="1258"/>
        <v>0</v>
      </c>
    </row>
    <row r="1353" spans="1:24" s="229" customFormat="1" hidden="1">
      <c r="A1353" s="239" t="s">
        <v>103</v>
      </c>
      <c r="B1353" s="247" t="s">
        <v>402</v>
      </c>
      <c r="C1353" s="227" t="s">
        <v>17</v>
      </c>
      <c r="D1353" s="227" t="s">
        <v>13</v>
      </c>
      <c r="E1353" s="227" t="s">
        <v>82</v>
      </c>
      <c r="F1353" s="227" t="s">
        <v>70</v>
      </c>
      <c r="G1353" s="227" t="s">
        <v>148</v>
      </c>
      <c r="H1353" s="227" t="s">
        <v>305</v>
      </c>
      <c r="I1353" s="237" t="s">
        <v>102</v>
      </c>
      <c r="J1353" s="244"/>
      <c r="K1353" s="244"/>
      <c r="L1353" s="244"/>
      <c r="M1353" s="244"/>
      <c r="N1353" s="244"/>
      <c r="O1353" s="244"/>
      <c r="P1353" s="244">
        <f>24000+7248</f>
        <v>31248</v>
      </c>
      <c r="Q1353" s="244"/>
      <c r="R1353" s="244"/>
      <c r="S1353" s="244"/>
      <c r="T1353" s="244"/>
      <c r="U1353" s="244"/>
      <c r="V1353" s="244">
        <f t="shared" si="1258"/>
        <v>31248</v>
      </c>
      <c r="W1353" s="244">
        <f t="shared" si="1258"/>
        <v>0</v>
      </c>
      <c r="X1353" s="244">
        <f t="shared" si="1258"/>
        <v>0</v>
      </c>
    </row>
    <row r="1354" spans="1:24" s="229" customFormat="1" ht="25.5" hidden="1">
      <c r="A1354" s="240" t="s">
        <v>260</v>
      </c>
      <c r="B1354" s="247" t="s">
        <v>402</v>
      </c>
      <c r="C1354" s="227" t="s">
        <v>17</v>
      </c>
      <c r="D1354" s="227" t="s">
        <v>13</v>
      </c>
      <c r="E1354" s="227" t="s">
        <v>82</v>
      </c>
      <c r="F1354" s="227" t="s">
        <v>70</v>
      </c>
      <c r="G1354" s="227" t="s">
        <v>148</v>
      </c>
      <c r="H1354" s="227" t="s">
        <v>305</v>
      </c>
      <c r="I1354" s="237" t="s">
        <v>94</v>
      </c>
      <c r="J1354" s="244"/>
      <c r="K1354" s="244"/>
      <c r="L1354" s="244"/>
      <c r="M1354" s="244"/>
      <c r="N1354" s="244"/>
      <c r="O1354" s="244"/>
      <c r="P1354" s="244">
        <f>P1355</f>
        <v>32074.720000000001</v>
      </c>
      <c r="Q1354" s="244">
        <f t="shared" ref="Q1354:U1354" si="1261">Q1355</f>
        <v>0</v>
      </c>
      <c r="R1354" s="244">
        <f t="shared" si="1261"/>
        <v>0</v>
      </c>
      <c r="S1354" s="244">
        <f t="shared" si="1261"/>
        <v>0</v>
      </c>
      <c r="T1354" s="244">
        <f t="shared" si="1261"/>
        <v>0</v>
      </c>
      <c r="U1354" s="244">
        <f t="shared" si="1261"/>
        <v>0</v>
      </c>
      <c r="V1354" s="244">
        <f t="shared" si="1258"/>
        <v>32074.720000000001</v>
      </c>
      <c r="W1354" s="244">
        <f t="shared" si="1258"/>
        <v>0</v>
      </c>
      <c r="X1354" s="244">
        <f t="shared" si="1258"/>
        <v>0</v>
      </c>
    </row>
    <row r="1355" spans="1:24" s="229" customFormat="1" ht="25.5" hidden="1">
      <c r="A1355" s="239" t="s">
        <v>98</v>
      </c>
      <c r="B1355" s="247" t="s">
        <v>402</v>
      </c>
      <c r="C1355" s="227" t="s">
        <v>17</v>
      </c>
      <c r="D1355" s="227" t="s">
        <v>13</v>
      </c>
      <c r="E1355" s="227" t="s">
        <v>82</v>
      </c>
      <c r="F1355" s="227" t="s">
        <v>70</v>
      </c>
      <c r="G1355" s="227" t="s">
        <v>148</v>
      </c>
      <c r="H1355" s="227" t="s">
        <v>305</v>
      </c>
      <c r="I1355" s="237" t="s">
        <v>95</v>
      </c>
      <c r="J1355" s="244"/>
      <c r="K1355" s="244"/>
      <c r="L1355" s="244"/>
      <c r="M1355" s="244"/>
      <c r="N1355" s="244"/>
      <c r="O1355" s="244"/>
      <c r="P1355" s="244">
        <v>32074.720000000001</v>
      </c>
      <c r="Q1355" s="244"/>
      <c r="R1355" s="244"/>
      <c r="S1355" s="244"/>
      <c r="T1355" s="244"/>
      <c r="U1355" s="244"/>
      <c r="V1355" s="244">
        <f t="shared" si="1258"/>
        <v>32074.720000000001</v>
      </c>
      <c r="W1355" s="244">
        <f t="shared" si="1258"/>
        <v>0</v>
      </c>
      <c r="X1355" s="244">
        <f t="shared" si="1258"/>
        <v>0</v>
      </c>
    </row>
    <row r="1356" spans="1:24" s="255" customFormat="1" ht="31.5" hidden="1">
      <c r="A1356" s="249" t="s">
        <v>26</v>
      </c>
      <c r="B1356" s="251" t="s">
        <v>402</v>
      </c>
      <c r="C1356" s="251" t="s">
        <v>13</v>
      </c>
      <c r="D1356" s="252"/>
      <c r="E1356" s="252"/>
      <c r="F1356" s="252"/>
      <c r="G1356" s="252"/>
      <c r="H1356" s="252"/>
      <c r="I1356" s="253"/>
      <c r="J1356" s="254"/>
      <c r="K1356" s="254"/>
      <c r="L1356" s="254"/>
      <c r="M1356" s="254"/>
      <c r="N1356" s="254"/>
      <c r="O1356" s="254"/>
      <c r="P1356" s="254">
        <f>P1357</f>
        <v>203307</v>
      </c>
      <c r="Q1356" s="254">
        <f t="shared" ref="Q1356:U1360" si="1262">Q1357</f>
        <v>55439.28</v>
      </c>
      <c r="R1356" s="254">
        <f t="shared" si="1262"/>
        <v>57656.85</v>
      </c>
      <c r="S1356" s="254">
        <f t="shared" si="1262"/>
        <v>0</v>
      </c>
      <c r="T1356" s="254">
        <f t="shared" si="1262"/>
        <v>0</v>
      </c>
      <c r="U1356" s="254">
        <f t="shared" si="1262"/>
        <v>0</v>
      </c>
      <c r="V1356" s="254">
        <f t="shared" si="1258"/>
        <v>203307</v>
      </c>
      <c r="W1356" s="254">
        <f t="shared" si="1258"/>
        <v>55439.28</v>
      </c>
      <c r="X1356" s="254">
        <f t="shared" si="1258"/>
        <v>57656.85</v>
      </c>
    </row>
    <row r="1357" spans="1:24" s="229" customFormat="1" ht="38.25" hidden="1">
      <c r="A1357" s="256" t="s">
        <v>230</v>
      </c>
      <c r="B1357" s="257" t="s">
        <v>402</v>
      </c>
      <c r="C1357" s="257" t="s">
        <v>13</v>
      </c>
      <c r="D1357" s="257" t="s">
        <v>30</v>
      </c>
      <c r="E1357" s="257"/>
      <c r="F1357" s="257"/>
      <c r="G1357" s="257"/>
      <c r="H1357" s="257"/>
      <c r="I1357" s="258"/>
      <c r="J1357" s="259"/>
      <c r="K1357" s="259"/>
      <c r="L1357" s="259"/>
      <c r="M1357" s="259"/>
      <c r="N1357" s="259"/>
      <c r="O1357" s="259"/>
      <c r="P1357" s="259">
        <f>P1358</f>
        <v>203307</v>
      </c>
      <c r="Q1357" s="259">
        <f t="shared" si="1262"/>
        <v>55439.28</v>
      </c>
      <c r="R1357" s="259">
        <f t="shared" si="1262"/>
        <v>57656.85</v>
      </c>
      <c r="S1357" s="259">
        <f t="shared" si="1262"/>
        <v>0</v>
      </c>
      <c r="T1357" s="259">
        <f t="shared" si="1262"/>
        <v>0</v>
      </c>
      <c r="U1357" s="259">
        <f t="shared" si="1262"/>
        <v>0</v>
      </c>
      <c r="V1357" s="259">
        <f t="shared" si="1258"/>
        <v>203307</v>
      </c>
      <c r="W1357" s="259">
        <f t="shared" si="1258"/>
        <v>55439.28</v>
      </c>
      <c r="X1357" s="259">
        <f t="shared" si="1258"/>
        <v>57656.85</v>
      </c>
    </row>
    <row r="1358" spans="1:24" s="229" customFormat="1" hidden="1">
      <c r="A1358" s="260" t="s">
        <v>290</v>
      </c>
      <c r="B1358" s="261" t="s">
        <v>402</v>
      </c>
      <c r="C1358" s="261" t="s">
        <v>13</v>
      </c>
      <c r="D1358" s="261" t="s">
        <v>30</v>
      </c>
      <c r="E1358" s="261" t="s">
        <v>214</v>
      </c>
      <c r="F1358" s="261" t="s">
        <v>70</v>
      </c>
      <c r="G1358" s="261" t="s">
        <v>148</v>
      </c>
      <c r="H1358" s="261" t="s">
        <v>149</v>
      </c>
      <c r="I1358" s="262"/>
      <c r="J1358" s="263"/>
      <c r="K1358" s="263"/>
      <c r="L1358" s="263"/>
      <c r="M1358" s="263"/>
      <c r="N1358" s="263"/>
      <c r="O1358" s="263"/>
      <c r="P1358" s="263">
        <f>P1359</f>
        <v>203307</v>
      </c>
      <c r="Q1358" s="263">
        <f t="shared" si="1262"/>
        <v>55439.28</v>
      </c>
      <c r="R1358" s="263">
        <f t="shared" si="1262"/>
        <v>57656.85</v>
      </c>
      <c r="S1358" s="263">
        <f t="shared" si="1262"/>
        <v>0</v>
      </c>
      <c r="T1358" s="263">
        <f t="shared" si="1262"/>
        <v>0</v>
      </c>
      <c r="U1358" s="263">
        <f t="shared" si="1262"/>
        <v>0</v>
      </c>
      <c r="V1358" s="263">
        <f t="shared" si="1258"/>
        <v>203307</v>
      </c>
      <c r="W1358" s="263">
        <f t="shared" si="1258"/>
        <v>55439.28</v>
      </c>
      <c r="X1358" s="263">
        <f t="shared" si="1258"/>
        <v>57656.85</v>
      </c>
    </row>
    <row r="1359" spans="1:24" s="229" customFormat="1" hidden="1">
      <c r="A1359" s="241" t="s">
        <v>336</v>
      </c>
      <c r="B1359" s="261" t="s">
        <v>402</v>
      </c>
      <c r="C1359" s="261" t="s">
        <v>13</v>
      </c>
      <c r="D1359" s="261" t="s">
        <v>30</v>
      </c>
      <c r="E1359" s="261" t="s">
        <v>214</v>
      </c>
      <c r="F1359" s="261" t="s">
        <v>70</v>
      </c>
      <c r="G1359" s="261" t="s">
        <v>148</v>
      </c>
      <c r="H1359" s="261" t="s">
        <v>335</v>
      </c>
      <c r="I1359" s="262"/>
      <c r="J1359" s="263"/>
      <c r="K1359" s="263"/>
      <c r="L1359" s="263"/>
      <c r="M1359" s="263"/>
      <c r="N1359" s="263"/>
      <c r="O1359" s="263"/>
      <c r="P1359" s="263">
        <f>P1360</f>
        <v>203307</v>
      </c>
      <c r="Q1359" s="263">
        <f t="shared" si="1262"/>
        <v>55439.28</v>
      </c>
      <c r="R1359" s="263">
        <f t="shared" si="1262"/>
        <v>57656.85</v>
      </c>
      <c r="S1359" s="263">
        <f t="shared" si="1262"/>
        <v>0</v>
      </c>
      <c r="T1359" s="263">
        <f t="shared" si="1262"/>
        <v>0</v>
      </c>
      <c r="U1359" s="263">
        <f t="shared" si="1262"/>
        <v>0</v>
      </c>
      <c r="V1359" s="263">
        <f t="shared" si="1258"/>
        <v>203307</v>
      </c>
      <c r="W1359" s="263">
        <f t="shared" si="1258"/>
        <v>55439.28</v>
      </c>
      <c r="X1359" s="263">
        <f t="shared" si="1258"/>
        <v>57656.85</v>
      </c>
    </row>
    <row r="1360" spans="1:24" s="229" customFormat="1" ht="25.5" hidden="1">
      <c r="A1360" s="240" t="s">
        <v>260</v>
      </c>
      <c r="B1360" s="261" t="s">
        <v>402</v>
      </c>
      <c r="C1360" s="261" t="s">
        <v>13</v>
      </c>
      <c r="D1360" s="261" t="s">
        <v>30</v>
      </c>
      <c r="E1360" s="261" t="s">
        <v>214</v>
      </c>
      <c r="F1360" s="261" t="s">
        <v>70</v>
      </c>
      <c r="G1360" s="261" t="s">
        <v>148</v>
      </c>
      <c r="H1360" s="261" t="s">
        <v>335</v>
      </c>
      <c r="I1360" s="262" t="s">
        <v>94</v>
      </c>
      <c r="J1360" s="263"/>
      <c r="K1360" s="263"/>
      <c r="L1360" s="263"/>
      <c r="M1360" s="263"/>
      <c r="N1360" s="263"/>
      <c r="O1360" s="263"/>
      <c r="P1360" s="263">
        <f>P1361</f>
        <v>203307</v>
      </c>
      <c r="Q1360" s="263">
        <f t="shared" si="1262"/>
        <v>55439.28</v>
      </c>
      <c r="R1360" s="263">
        <f t="shared" si="1262"/>
        <v>57656.85</v>
      </c>
      <c r="S1360" s="263">
        <f t="shared" si="1262"/>
        <v>0</v>
      </c>
      <c r="T1360" s="263">
        <f t="shared" si="1262"/>
        <v>0</v>
      </c>
      <c r="U1360" s="263">
        <f t="shared" si="1262"/>
        <v>0</v>
      </c>
      <c r="V1360" s="263">
        <f t="shared" si="1258"/>
        <v>203307</v>
      </c>
      <c r="W1360" s="263">
        <f t="shared" si="1258"/>
        <v>55439.28</v>
      </c>
      <c r="X1360" s="263">
        <f t="shared" si="1258"/>
        <v>57656.85</v>
      </c>
    </row>
    <row r="1361" spans="1:24" s="229" customFormat="1" ht="25.5" hidden="1">
      <c r="A1361" s="239" t="s">
        <v>98</v>
      </c>
      <c r="B1361" s="261" t="s">
        <v>402</v>
      </c>
      <c r="C1361" s="261" t="s">
        <v>13</v>
      </c>
      <c r="D1361" s="261" t="s">
        <v>30</v>
      </c>
      <c r="E1361" s="261" t="s">
        <v>214</v>
      </c>
      <c r="F1361" s="261" t="s">
        <v>70</v>
      </c>
      <c r="G1361" s="261" t="s">
        <v>148</v>
      </c>
      <c r="H1361" s="261" t="s">
        <v>335</v>
      </c>
      <c r="I1361" s="262" t="s">
        <v>95</v>
      </c>
      <c r="J1361" s="263"/>
      <c r="K1361" s="263"/>
      <c r="L1361" s="263"/>
      <c r="M1361" s="263"/>
      <c r="N1361" s="263"/>
      <c r="O1361" s="263"/>
      <c r="P1361" s="263">
        <f>150000+53307</f>
        <v>203307</v>
      </c>
      <c r="Q1361" s="263">
        <v>55439.28</v>
      </c>
      <c r="R1361" s="263">
        <v>57656.85</v>
      </c>
      <c r="S1361" s="263"/>
      <c r="T1361" s="263"/>
      <c r="U1361" s="263"/>
      <c r="V1361" s="263">
        <f t="shared" si="1258"/>
        <v>203307</v>
      </c>
      <c r="W1361" s="263">
        <f t="shared" si="1258"/>
        <v>55439.28</v>
      </c>
      <c r="X1361" s="263">
        <f t="shared" si="1258"/>
        <v>57656.85</v>
      </c>
    </row>
    <row r="1362" spans="1:24" s="229" customFormat="1" ht="15.75" hidden="1">
      <c r="A1362" s="225" t="s">
        <v>15</v>
      </c>
      <c r="B1362" s="266" t="s">
        <v>402</v>
      </c>
      <c r="C1362" s="266" t="s">
        <v>16</v>
      </c>
      <c r="D1362" s="247"/>
      <c r="E1362" s="247"/>
      <c r="F1362" s="247"/>
      <c r="G1362" s="247"/>
      <c r="H1362" s="247"/>
      <c r="I1362" s="248"/>
      <c r="J1362" s="228"/>
      <c r="K1362" s="228"/>
      <c r="L1362" s="228"/>
      <c r="M1362" s="228"/>
      <c r="N1362" s="228"/>
      <c r="O1362" s="228"/>
      <c r="P1362" s="228">
        <f t="shared" ref="P1362:U1362" si="1263">P1363+P1368</f>
        <v>1991000</v>
      </c>
      <c r="Q1362" s="228">
        <f t="shared" si="1263"/>
        <v>0</v>
      </c>
      <c r="R1362" s="228">
        <f t="shared" si="1263"/>
        <v>0</v>
      </c>
      <c r="S1362" s="228">
        <f t="shared" si="1263"/>
        <v>0</v>
      </c>
      <c r="T1362" s="228">
        <f t="shared" si="1263"/>
        <v>0</v>
      </c>
      <c r="U1362" s="228">
        <f t="shared" si="1263"/>
        <v>0</v>
      </c>
      <c r="V1362" s="228">
        <f t="shared" si="1258"/>
        <v>1991000</v>
      </c>
      <c r="W1362" s="228">
        <f t="shared" si="1258"/>
        <v>0</v>
      </c>
      <c r="X1362" s="228">
        <f t="shared" si="1258"/>
        <v>0</v>
      </c>
    </row>
    <row r="1363" spans="1:24" s="229" customFormat="1" hidden="1">
      <c r="A1363" s="230" t="s">
        <v>23</v>
      </c>
      <c r="B1363" s="232" t="s">
        <v>402</v>
      </c>
      <c r="C1363" s="232" t="s">
        <v>16</v>
      </c>
      <c r="D1363" s="232" t="s">
        <v>27</v>
      </c>
      <c r="E1363" s="232"/>
      <c r="F1363" s="232"/>
      <c r="G1363" s="232"/>
      <c r="H1363" s="269"/>
      <c r="I1363" s="233"/>
      <c r="J1363" s="234"/>
      <c r="K1363" s="234"/>
      <c r="L1363" s="234"/>
      <c r="M1363" s="234"/>
      <c r="N1363" s="234"/>
      <c r="O1363" s="234"/>
      <c r="P1363" s="234">
        <f>P1364</f>
        <v>1191000</v>
      </c>
      <c r="Q1363" s="234">
        <f t="shared" ref="Q1363:U1366" si="1264">Q1364</f>
        <v>0</v>
      </c>
      <c r="R1363" s="234">
        <f t="shared" si="1264"/>
        <v>0</v>
      </c>
      <c r="S1363" s="234">
        <f t="shared" si="1264"/>
        <v>0</v>
      </c>
      <c r="T1363" s="234">
        <f t="shared" si="1264"/>
        <v>0</v>
      </c>
      <c r="U1363" s="234">
        <f t="shared" si="1264"/>
        <v>0</v>
      </c>
      <c r="V1363" s="234">
        <f t="shared" si="1258"/>
        <v>1191000</v>
      </c>
      <c r="W1363" s="234">
        <f t="shared" si="1258"/>
        <v>0</v>
      </c>
      <c r="X1363" s="234">
        <f t="shared" si="1258"/>
        <v>0</v>
      </c>
    </row>
    <row r="1364" spans="1:24" s="229" customFormat="1" ht="38.25" hidden="1">
      <c r="A1364" s="235" t="s">
        <v>396</v>
      </c>
      <c r="B1364" s="227" t="s">
        <v>402</v>
      </c>
      <c r="C1364" s="227" t="s">
        <v>16</v>
      </c>
      <c r="D1364" s="227" t="s">
        <v>27</v>
      </c>
      <c r="E1364" s="227" t="s">
        <v>18</v>
      </c>
      <c r="F1364" s="227" t="s">
        <v>70</v>
      </c>
      <c r="G1364" s="227" t="s">
        <v>148</v>
      </c>
      <c r="H1364" s="267" t="s">
        <v>149</v>
      </c>
      <c r="I1364" s="237"/>
      <c r="J1364" s="238"/>
      <c r="K1364" s="238"/>
      <c r="L1364" s="238"/>
      <c r="M1364" s="238"/>
      <c r="N1364" s="238"/>
      <c r="O1364" s="238"/>
      <c r="P1364" s="238">
        <f>P1365</f>
        <v>1191000</v>
      </c>
      <c r="Q1364" s="238">
        <f t="shared" si="1264"/>
        <v>0</v>
      </c>
      <c r="R1364" s="238">
        <f t="shared" si="1264"/>
        <v>0</v>
      </c>
      <c r="S1364" s="238">
        <f t="shared" si="1264"/>
        <v>0</v>
      </c>
      <c r="T1364" s="238">
        <f t="shared" si="1264"/>
        <v>0</v>
      </c>
      <c r="U1364" s="238">
        <f t="shared" si="1264"/>
        <v>0</v>
      </c>
      <c r="V1364" s="238">
        <f t="shared" ref="V1364:X1379" si="1265">P1364+S1364</f>
        <v>1191000</v>
      </c>
      <c r="W1364" s="238">
        <f t="shared" si="1265"/>
        <v>0</v>
      </c>
      <c r="X1364" s="238">
        <f t="shared" si="1265"/>
        <v>0</v>
      </c>
    </row>
    <row r="1365" spans="1:24" s="229" customFormat="1" ht="25.5" hidden="1">
      <c r="A1365" s="268" t="s">
        <v>312</v>
      </c>
      <c r="B1365" s="227" t="s">
        <v>402</v>
      </c>
      <c r="C1365" s="227" t="s">
        <v>16</v>
      </c>
      <c r="D1365" s="227" t="s">
        <v>27</v>
      </c>
      <c r="E1365" s="227" t="s">
        <v>18</v>
      </c>
      <c r="F1365" s="227" t="s">
        <v>70</v>
      </c>
      <c r="G1365" s="227" t="s">
        <v>148</v>
      </c>
      <c r="H1365" s="267" t="s">
        <v>311</v>
      </c>
      <c r="I1365" s="272"/>
      <c r="J1365" s="238"/>
      <c r="K1365" s="238"/>
      <c r="L1365" s="238"/>
      <c r="M1365" s="238"/>
      <c r="N1365" s="238"/>
      <c r="O1365" s="238"/>
      <c r="P1365" s="238">
        <f>P1366</f>
        <v>1191000</v>
      </c>
      <c r="Q1365" s="238">
        <f t="shared" si="1264"/>
        <v>0</v>
      </c>
      <c r="R1365" s="238">
        <f t="shared" si="1264"/>
        <v>0</v>
      </c>
      <c r="S1365" s="238">
        <f t="shared" si="1264"/>
        <v>0</v>
      </c>
      <c r="T1365" s="238">
        <f t="shared" si="1264"/>
        <v>0</v>
      </c>
      <c r="U1365" s="238">
        <f t="shared" si="1264"/>
        <v>0</v>
      </c>
      <c r="V1365" s="238">
        <f t="shared" si="1265"/>
        <v>1191000</v>
      </c>
      <c r="W1365" s="238">
        <f t="shared" si="1265"/>
        <v>0</v>
      </c>
      <c r="X1365" s="238">
        <f t="shared" si="1265"/>
        <v>0</v>
      </c>
    </row>
    <row r="1366" spans="1:24" s="229" customFormat="1" ht="25.5" hidden="1">
      <c r="A1366" s="240" t="s">
        <v>260</v>
      </c>
      <c r="B1366" s="227" t="s">
        <v>402</v>
      </c>
      <c r="C1366" s="227" t="s">
        <v>16</v>
      </c>
      <c r="D1366" s="227" t="s">
        <v>27</v>
      </c>
      <c r="E1366" s="227" t="s">
        <v>18</v>
      </c>
      <c r="F1366" s="227" t="s">
        <v>70</v>
      </c>
      <c r="G1366" s="227" t="s">
        <v>148</v>
      </c>
      <c r="H1366" s="267" t="s">
        <v>311</v>
      </c>
      <c r="I1366" s="272" t="s">
        <v>94</v>
      </c>
      <c r="J1366" s="238"/>
      <c r="K1366" s="238"/>
      <c r="L1366" s="238"/>
      <c r="M1366" s="238"/>
      <c r="N1366" s="238"/>
      <c r="O1366" s="238"/>
      <c r="P1366" s="238">
        <f>P1367</f>
        <v>1191000</v>
      </c>
      <c r="Q1366" s="238">
        <f t="shared" si="1264"/>
        <v>0</v>
      </c>
      <c r="R1366" s="238">
        <f t="shared" si="1264"/>
        <v>0</v>
      </c>
      <c r="S1366" s="238">
        <f t="shared" si="1264"/>
        <v>0</v>
      </c>
      <c r="T1366" s="238">
        <f t="shared" si="1264"/>
        <v>0</v>
      </c>
      <c r="U1366" s="238">
        <f t="shared" si="1264"/>
        <v>0</v>
      </c>
      <c r="V1366" s="238">
        <f t="shared" si="1265"/>
        <v>1191000</v>
      </c>
      <c r="W1366" s="238">
        <f t="shared" si="1265"/>
        <v>0</v>
      </c>
      <c r="X1366" s="238">
        <f t="shared" si="1265"/>
        <v>0</v>
      </c>
    </row>
    <row r="1367" spans="1:24" s="229" customFormat="1" ht="25.5" hidden="1">
      <c r="A1367" s="239" t="s">
        <v>98</v>
      </c>
      <c r="B1367" s="227" t="s">
        <v>402</v>
      </c>
      <c r="C1367" s="227" t="s">
        <v>16</v>
      </c>
      <c r="D1367" s="227" t="s">
        <v>27</v>
      </c>
      <c r="E1367" s="227" t="s">
        <v>18</v>
      </c>
      <c r="F1367" s="227" t="s">
        <v>70</v>
      </c>
      <c r="G1367" s="227" t="s">
        <v>148</v>
      </c>
      <c r="H1367" s="267" t="s">
        <v>311</v>
      </c>
      <c r="I1367" s="272" t="s">
        <v>95</v>
      </c>
      <c r="J1367" s="238"/>
      <c r="K1367" s="238"/>
      <c r="L1367" s="238"/>
      <c r="M1367" s="238"/>
      <c r="N1367" s="238"/>
      <c r="O1367" s="238"/>
      <c r="P1367" s="238">
        <v>1191000</v>
      </c>
      <c r="Q1367" s="238">
        <f t="shared" ref="Q1367:R1367" si="1266">K1367+N1367</f>
        <v>0</v>
      </c>
      <c r="R1367" s="238">
        <f t="shared" si="1266"/>
        <v>0</v>
      </c>
      <c r="S1367" s="238"/>
      <c r="T1367" s="238"/>
      <c r="U1367" s="238"/>
      <c r="V1367" s="238">
        <f t="shared" si="1265"/>
        <v>1191000</v>
      </c>
      <c r="W1367" s="238">
        <f t="shared" si="1265"/>
        <v>0</v>
      </c>
      <c r="X1367" s="238">
        <f t="shared" si="1265"/>
        <v>0</v>
      </c>
    </row>
    <row r="1368" spans="1:24" s="229" customFormat="1" hidden="1">
      <c r="A1368" s="230" t="s">
        <v>60</v>
      </c>
      <c r="B1368" s="231" t="s">
        <v>402</v>
      </c>
      <c r="C1368" s="231" t="s">
        <v>16</v>
      </c>
      <c r="D1368" s="231" t="s">
        <v>14</v>
      </c>
      <c r="E1368" s="231"/>
      <c r="F1368" s="231"/>
      <c r="G1368" s="231"/>
      <c r="H1368" s="227"/>
      <c r="I1368" s="237"/>
      <c r="J1368" s="234"/>
      <c r="K1368" s="234"/>
      <c r="L1368" s="234"/>
      <c r="M1368" s="234"/>
      <c r="N1368" s="234"/>
      <c r="O1368" s="234"/>
      <c r="P1368" s="234">
        <f>P1369</f>
        <v>800000</v>
      </c>
      <c r="Q1368" s="234">
        <f t="shared" ref="Q1368:U1371" si="1267">Q1369</f>
        <v>0</v>
      </c>
      <c r="R1368" s="234">
        <f t="shared" si="1267"/>
        <v>0</v>
      </c>
      <c r="S1368" s="234">
        <f t="shared" si="1267"/>
        <v>0</v>
      </c>
      <c r="T1368" s="234">
        <f t="shared" si="1267"/>
        <v>0</v>
      </c>
      <c r="U1368" s="234">
        <f t="shared" si="1267"/>
        <v>0</v>
      </c>
      <c r="V1368" s="234">
        <f t="shared" si="1265"/>
        <v>800000</v>
      </c>
      <c r="W1368" s="234">
        <f t="shared" si="1265"/>
        <v>0</v>
      </c>
      <c r="X1368" s="234">
        <f t="shared" si="1265"/>
        <v>0</v>
      </c>
    </row>
    <row r="1369" spans="1:24" s="229" customFormat="1" hidden="1">
      <c r="A1369" s="235" t="s">
        <v>84</v>
      </c>
      <c r="B1369" s="227" t="s">
        <v>402</v>
      </c>
      <c r="C1369" s="227" t="s">
        <v>16</v>
      </c>
      <c r="D1369" s="227" t="s">
        <v>14</v>
      </c>
      <c r="E1369" s="227" t="s">
        <v>82</v>
      </c>
      <c r="F1369" s="227" t="s">
        <v>70</v>
      </c>
      <c r="G1369" s="227" t="s">
        <v>148</v>
      </c>
      <c r="H1369" s="227" t="s">
        <v>149</v>
      </c>
      <c r="I1369" s="237"/>
      <c r="J1369" s="238"/>
      <c r="K1369" s="238"/>
      <c r="L1369" s="238"/>
      <c r="M1369" s="238"/>
      <c r="N1369" s="238"/>
      <c r="O1369" s="238"/>
      <c r="P1369" s="238">
        <f>P1370</f>
        <v>800000</v>
      </c>
      <c r="Q1369" s="238">
        <f t="shared" si="1267"/>
        <v>0</v>
      </c>
      <c r="R1369" s="238">
        <f t="shared" si="1267"/>
        <v>0</v>
      </c>
      <c r="S1369" s="238">
        <f t="shared" si="1267"/>
        <v>0</v>
      </c>
      <c r="T1369" s="238">
        <f t="shared" si="1267"/>
        <v>0</v>
      </c>
      <c r="U1369" s="238">
        <f t="shared" si="1267"/>
        <v>0</v>
      </c>
      <c r="V1369" s="238">
        <f t="shared" si="1265"/>
        <v>800000</v>
      </c>
      <c r="W1369" s="238">
        <f t="shared" si="1265"/>
        <v>0</v>
      </c>
      <c r="X1369" s="238">
        <f t="shared" si="1265"/>
        <v>0</v>
      </c>
    </row>
    <row r="1370" spans="1:24" s="229" customFormat="1" ht="38.25" hidden="1">
      <c r="A1370" s="235" t="s">
        <v>350</v>
      </c>
      <c r="B1370" s="227" t="s">
        <v>402</v>
      </c>
      <c r="C1370" s="227" t="s">
        <v>16</v>
      </c>
      <c r="D1370" s="227" t="s">
        <v>14</v>
      </c>
      <c r="E1370" s="227" t="s">
        <v>82</v>
      </c>
      <c r="F1370" s="227" t="s">
        <v>70</v>
      </c>
      <c r="G1370" s="227" t="s">
        <v>148</v>
      </c>
      <c r="H1370" s="227" t="s">
        <v>179</v>
      </c>
      <c r="I1370" s="237"/>
      <c r="J1370" s="238"/>
      <c r="K1370" s="238"/>
      <c r="L1370" s="238"/>
      <c r="M1370" s="238"/>
      <c r="N1370" s="238"/>
      <c r="O1370" s="238"/>
      <c r="P1370" s="238">
        <f>P1371</f>
        <v>800000</v>
      </c>
      <c r="Q1370" s="238">
        <f t="shared" si="1267"/>
        <v>0</v>
      </c>
      <c r="R1370" s="238">
        <f t="shared" si="1267"/>
        <v>0</v>
      </c>
      <c r="S1370" s="238">
        <f t="shared" si="1267"/>
        <v>0</v>
      </c>
      <c r="T1370" s="238">
        <f t="shared" si="1267"/>
        <v>0</v>
      </c>
      <c r="U1370" s="238">
        <f t="shared" si="1267"/>
        <v>0</v>
      </c>
      <c r="V1370" s="238">
        <f t="shared" si="1265"/>
        <v>800000</v>
      </c>
      <c r="W1370" s="238">
        <f t="shared" si="1265"/>
        <v>0</v>
      </c>
      <c r="X1370" s="238">
        <f t="shared" si="1265"/>
        <v>0</v>
      </c>
    </row>
    <row r="1371" spans="1:24" s="229" customFormat="1" ht="25.5" hidden="1">
      <c r="A1371" s="240" t="s">
        <v>260</v>
      </c>
      <c r="B1371" s="227" t="s">
        <v>402</v>
      </c>
      <c r="C1371" s="227" t="s">
        <v>16</v>
      </c>
      <c r="D1371" s="227" t="s">
        <v>14</v>
      </c>
      <c r="E1371" s="227" t="s">
        <v>82</v>
      </c>
      <c r="F1371" s="227" t="s">
        <v>70</v>
      </c>
      <c r="G1371" s="227" t="s">
        <v>148</v>
      </c>
      <c r="H1371" s="227" t="s">
        <v>179</v>
      </c>
      <c r="I1371" s="237" t="s">
        <v>94</v>
      </c>
      <c r="J1371" s="238"/>
      <c r="K1371" s="238"/>
      <c r="L1371" s="238"/>
      <c r="M1371" s="238"/>
      <c r="N1371" s="238"/>
      <c r="O1371" s="238"/>
      <c r="P1371" s="238">
        <f>P1372</f>
        <v>800000</v>
      </c>
      <c r="Q1371" s="238">
        <f t="shared" si="1267"/>
        <v>0</v>
      </c>
      <c r="R1371" s="238">
        <f t="shared" si="1267"/>
        <v>0</v>
      </c>
      <c r="S1371" s="238">
        <f t="shared" si="1267"/>
        <v>0</v>
      </c>
      <c r="T1371" s="238">
        <f t="shared" si="1267"/>
        <v>0</v>
      </c>
      <c r="U1371" s="238">
        <f t="shared" si="1267"/>
        <v>0</v>
      </c>
      <c r="V1371" s="238">
        <f t="shared" si="1265"/>
        <v>800000</v>
      </c>
      <c r="W1371" s="238">
        <f t="shared" si="1265"/>
        <v>0</v>
      </c>
      <c r="X1371" s="238">
        <f t="shared" si="1265"/>
        <v>0</v>
      </c>
    </row>
    <row r="1372" spans="1:24" s="229" customFormat="1" ht="25.5" hidden="1">
      <c r="A1372" s="239" t="s">
        <v>98</v>
      </c>
      <c r="B1372" s="227" t="s">
        <v>402</v>
      </c>
      <c r="C1372" s="227" t="s">
        <v>16</v>
      </c>
      <c r="D1372" s="227" t="s">
        <v>14</v>
      </c>
      <c r="E1372" s="227" t="s">
        <v>82</v>
      </c>
      <c r="F1372" s="227" t="s">
        <v>70</v>
      </c>
      <c r="G1372" s="227" t="s">
        <v>148</v>
      </c>
      <c r="H1372" s="227" t="s">
        <v>179</v>
      </c>
      <c r="I1372" s="237" t="s">
        <v>95</v>
      </c>
      <c r="J1372" s="238"/>
      <c r="K1372" s="238"/>
      <c r="L1372" s="238"/>
      <c r="M1372" s="238"/>
      <c r="N1372" s="238"/>
      <c r="O1372" s="238"/>
      <c r="P1372" s="238">
        <v>800000</v>
      </c>
      <c r="Q1372" s="238"/>
      <c r="R1372" s="238"/>
      <c r="S1372" s="238"/>
      <c r="T1372" s="238"/>
      <c r="U1372" s="238"/>
      <c r="V1372" s="238">
        <f t="shared" si="1265"/>
        <v>800000</v>
      </c>
      <c r="W1372" s="238">
        <f t="shared" si="1265"/>
        <v>0</v>
      </c>
      <c r="X1372" s="238">
        <f t="shared" si="1265"/>
        <v>0</v>
      </c>
    </row>
    <row r="1373" spans="1:24" s="229" customFormat="1" ht="15.75" hidden="1">
      <c r="A1373" s="273" t="s">
        <v>46</v>
      </c>
      <c r="B1373" s="274" t="s">
        <v>402</v>
      </c>
      <c r="C1373" s="274" t="s">
        <v>18</v>
      </c>
      <c r="D1373" s="274"/>
      <c r="E1373" s="274"/>
      <c r="F1373" s="274"/>
      <c r="G1373" s="274"/>
      <c r="H1373" s="274"/>
      <c r="I1373" s="275"/>
      <c r="J1373" s="228"/>
      <c r="K1373" s="228"/>
      <c r="L1373" s="228"/>
      <c r="M1373" s="228"/>
      <c r="N1373" s="228"/>
      <c r="O1373" s="228"/>
      <c r="P1373" s="228">
        <f t="shared" ref="P1373:U1373" si="1268">P1374+P1383</f>
        <v>2117650</v>
      </c>
      <c r="Q1373" s="228">
        <f t="shared" si="1268"/>
        <v>406605.36</v>
      </c>
      <c r="R1373" s="228">
        <f t="shared" si="1268"/>
        <v>350647.93</v>
      </c>
      <c r="S1373" s="228">
        <f t="shared" si="1268"/>
        <v>0</v>
      </c>
      <c r="T1373" s="228">
        <f t="shared" si="1268"/>
        <v>0</v>
      </c>
      <c r="U1373" s="228">
        <f t="shared" si="1268"/>
        <v>0</v>
      </c>
      <c r="V1373" s="228">
        <f t="shared" si="1265"/>
        <v>2117650</v>
      </c>
      <c r="W1373" s="228">
        <f t="shared" si="1265"/>
        <v>406605.36</v>
      </c>
      <c r="X1373" s="228">
        <f t="shared" si="1265"/>
        <v>350647.93</v>
      </c>
    </row>
    <row r="1374" spans="1:24" s="229" customFormat="1" hidden="1">
      <c r="A1374" s="278" t="s">
        <v>47</v>
      </c>
      <c r="B1374" s="232" t="s">
        <v>402</v>
      </c>
      <c r="C1374" s="232" t="s">
        <v>18</v>
      </c>
      <c r="D1374" s="232" t="s">
        <v>17</v>
      </c>
      <c r="E1374" s="232"/>
      <c r="F1374" s="232"/>
      <c r="G1374" s="232"/>
      <c r="H1374" s="232"/>
      <c r="I1374" s="233"/>
      <c r="J1374" s="234"/>
      <c r="K1374" s="234"/>
      <c r="L1374" s="234"/>
      <c r="M1374" s="234"/>
      <c r="N1374" s="234"/>
      <c r="O1374" s="234"/>
      <c r="P1374" s="234">
        <f>P1375+P1380</f>
        <v>450000</v>
      </c>
      <c r="Q1374" s="234">
        <f t="shared" ref="Q1374:U1374" si="1269">Q1375+Q1380</f>
        <v>50000</v>
      </c>
      <c r="R1374" s="234">
        <f t="shared" si="1269"/>
        <v>50000</v>
      </c>
      <c r="S1374" s="234">
        <f t="shared" si="1269"/>
        <v>0</v>
      </c>
      <c r="T1374" s="234">
        <f t="shared" si="1269"/>
        <v>0</v>
      </c>
      <c r="U1374" s="234">
        <f t="shared" si="1269"/>
        <v>0</v>
      </c>
      <c r="V1374" s="234">
        <f t="shared" si="1265"/>
        <v>450000</v>
      </c>
      <c r="W1374" s="234">
        <f t="shared" si="1265"/>
        <v>50000</v>
      </c>
      <c r="X1374" s="234">
        <f t="shared" si="1265"/>
        <v>50000</v>
      </c>
    </row>
    <row r="1375" spans="1:24" s="229" customFormat="1" ht="38.25" hidden="1">
      <c r="A1375" s="298" t="s">
        <v>286</v>
      </c>
      <c r="B1375" s="236" t="s">
        <v>402</v>
      </c>
      <c r="C1375" s="236" t="s">
        <v>18</v>
      </c>
      <c r="D1375" s="236" t="s">
        <v>17</v>
      </c>
      <c r="E1375" s="236" t="s">
        <v>3</v>
      </c>
      <c r="F1375" s="236" t="s">
        <v>70</v>
      </c>
      <c r="G1375" s="236" t="s">
        <v>148</v>
      </c>
      <c r="H1375" s="236" t="s">
        <v>149</v>
      </c>
      <c r="I1375" s="277"/>
      <c r="J1375" s="238"/>
      <c r="K1375" s="238"/>
      <c r="L1375" s="238"/>
      <c r="M1375" s="238"/>
      <c r="N1375" s="238"/>
      <c r="O1375" s="238"/>
      <c r="P1375" s="238">
        <f>P1376</f>
        <v>400000</v>
      </c>
      <c r="Q1375" s="238">
        <f t="shared" ref="Q1375:U1377" si="1270">Q1376</f>
        <v>0</v>
      </c>
      <c r="R1375" s="238">
        <f t="shared" si="1270"/>
        <v>0</v>
      </c>
      <c r="S1375" s="238">
        <f t="shared" si="1270"/>
        <v>0</v>
      </c>
      <c r="T1375" s="238">
        <f t="shared" si="1270"/>
        <v>0</v>
      </c>
      <c r="U1375" s="238">
        <f t="shared" si="1270"/>
        <v>0</v>
      </c>
      <c r="V1375" s="238">
        <f t="shared" si="1265"/>
        <v>400000</v>
      </c>
      <c r="W1375" s="238">
        <f t="shared" si="1265"/>
        <v>0</v>
      </c>
      <c r="X1375" s="238">
        <f t="shared" si="1265"/>
        <v>0</v>
      </c>
    </row>
    <row r="1376" spans="1:24" s="229" customFormat="1" ht="25.5" hidden="1">
      <c r="A1376" s="268" t="s">
        <v>312</v>
      </c>
      <c r="B1376" s="236" t="s">
        <v>402</v>
      </c>
      <c r="C1376" s="236" t="s">
        <v>18</v>
      </c>
      <c r="D1376" s="236" t="s">
        <v>17</v>
      </c>
      <c r="E1376" s="236" t="s">
        <v>3</v>
      </c>
      <c r="F1376" s="236" t="s">
        <v>70</v>
      </c>
      <c r="G1376" s="236" t="s">
        <v>148</v>
      </c>
      <c r="H1376" s="236" t="s">
        <v>311</v>
      </c>
      <c r="I1376" s="277"/>
      <c r="J1376" s="238"/>
      <c r="K1376" s="238"/>
      <c r="L1376" s="238"/>
      <c r="M1376" s="238"/>
      <c r="N1376" s="238"/>
      <c r="O1376" s="238"/>
      <c r="P1376" s="238">
        <f>P1377</f>
        <v>400000</v>
      </c>
      <c r="Q1376" s="238">
        <f t="shared" si="1270"/>
        <v>0</v>
      </c>
      <c r="R1376" s="238">
        <f t="shared" si="1270"/>
        <v>0</v>
      </c>
      <c r="S1376" s="238">
        <f t="shared" si="1270"/>
        <v>0</v>
      </c>
      <c r="T1376" s="238">
        <f t="shared" si="1270"/>
        <v>0</v>
      </c>
      <c r="U1376" s="238">
        <f t="shared" si="1270"/>
        <v>0</v>
      </c>
      <c r="V1376" s="238">
        <f t="shared" si="1265"/>
        <v>400000</v>
      </c>
      <c r="W1376" s="238">
        <f t="shared" si="1265"/>
        <v>0</v>
      </c>
      <c r="X1376" s="238">
        <f t="shared" si="1265"/>
        <v>0</v>
      </c>
    </row>
    <row r="1377" spans="1:24" s="229" customFormat="1" ht="25.5" hidden="1">
      <c r="A1377" s="240" t="s">
        <v>260</v>
      </c>
      <c r="B1377" s="236" t="s">
        <v>402</v>
      </c>
      <c r="C1377" s="236" t="s">
        <v>18</v>
      </c>
      <c r="D1377" s="236" t="s">
        <v>17</v>
      </c>
      <c r="E1377" s="236" t="s">
        <v>3</v>
      </c>
      <c r="F1377" s="236" t="s">
        <v>70</v>
      </c>
      <c r="G1377" s="236" t="s">
        <v>148</v>
      </c>
      <c r="H1377" s="236" t="s">
        <v>311</v>
      </c>
      <c r="I1377" s="277" t="s">
        <v>94</v>
      </c>
      <c r="J1377" s="238"/>
      <c r="K1377" s="238"/>
      <c r="L1377" s="238"/>
      <c r="M1377" s="238"/>
      <c r="N1377" s="238"/>
      <c r="O1377" s="238"/>
      <c r="P1377" s="238">
        <f>P1378</f>
        <v>400000</v>
      </c>
      <c r="Q1377" s="238">
        <f t="shared" si="1270"/>
        <v>0</v>
      </c>
      <c r="R1377" s="238">
        <f t="shared" si="1270"/>
        <v>0</v>
      </c>
      <c r="S1377" s="238">
        <f t="shared" si="1270"/>
        <v>0</v>
      </c>
      <c r="T1377" s="238">
        <f t="shared" si="1270"/>
        <v>0</v>
      </c>
      <c r="U1377" s="238">
        <f t="shared" si="1270"/>
        <v>0</v>
      </c>
      <c r="V1377" s="238">
        <f t="shared" si="1265"/>
        <v>400000</v>
      </c>
      <c r="W1377" s="238">
        <f t="shared" si="1265"/>
        <v>0</v>
      </c>
      <c r="X1377" s="238">
        <f t="shared" si="1265"/>
        <v>0</v>
      </c>
    </row>
    <row r="1378" spans="1:24" s="229" customFormat="1" ht="25.5" hidden="1">
      <c r="A1378" s="239" t="s">
        <v>98</v>
      </c>
      <c r="B1378" s="236" t="s">
        <v>402</v>
      </c>
      <c r="C1378" s="236" t="s">
        <v>18</v>
      </c>
      <c r="D1378" s="236" t="s">
        <v>17</v>
      </c>
      <c r="E1378" s="236" t="s">
        <v>3</v>
      </c>
      <c r="F1378" s="236" t="s">
        <v>70</v>
      </c>
      <c r="G1378" s="236" t="s">
        <v>148</v>
      </c>
      <c r="H1378" s="236" t="s">
        <v>311</v>
      </c>
      <c r="I1378" s="277" t="s">
        <v>95</v>
      </c>
      <c r="J1378" s="238"/>
      <c r="K1378" s="238"/>
      <c r="L1378" s="238"/>
      <c r="M1378" s="238"/>
      <c r="N1378" s="238"/>
      <c r="O1378" s="238"/>
      <c r="P1378" s="238">
        <v>400000</v>
      </c>
      <c r="Q1378" s="238">
        <f t="shared" ref="Q1378:R1378" si="1271">K1378+N1378</f>
        <v>0</v>
      </c>
      <c r="R1378" s="238">
        <f t="shared" si="1271"/>
        <v>0</v>
      </c>
      <c r="S1378" s="238"/>
      <c r="T1378" s="238"/>
      <c r="U1378" s="238"/>
      <c r="V1378" s="238">
        <f t="shared" si="1265"/>
        <v>400000</v>
      </c>
      <c r="W1378" s="238">
        <f t="shared" si="1265"/>
        <v>0</v>
      </c>
      <c r="X1378" s="238">
        <f t="shared" si="1265"/>
        <v>0</v>
      </c>
    </row>
    <row r="1379" spans="1:24" s="229" customFormat="1" hidden="1">
      <c r="A1379" s="235" t="s">
        <v>83</v>
      </c>
      <c r="B1379" s="227" t="s">
        <v>402</v>
      </c>
      <c r="C1379" s="227" t="s">
        <v>18</v>
      </c>
      <c r="D1379" s="227" t="s">
        <v>17</v>
      </c>
      <c r="E1379" s="227" t="s">
        <v>82</v>
      </c>
      <c r="F1379" s="227" t="s">
        <v>70</v>
      </c>
      <c r="G1379" s="227" t="s">
        <v>148</v>
      </c>
      <c r="H1379" s="227" t="s">
        <v>149</v>
      </c>
      <c r="I1379" s="237"/>
      <c r="J1379" s="238"/>
      <c r="K1379" s="238"/>
      <c r="L1379" s="238"/>
      <c r="M1379" s="238"/>
      <c r="N1379" s="238"/>
      <c r="O1379" s="238"/>
      <c r="P1379" s="238">
        <f>P1380</f>
        <v>50000</v>
      </c>
      <c r="Q1379" s="238">
        <f t="shared" ref="Q1379:U1381" si="1272">Q1380</f>
        <v>50000</v>
      </c>
      <c r="R1379" s="238">
        <f t="shared" si="1272"/>
        <v>50000</v>
      </c>
      <c r="S1379" s="238">
        <f t="shared" si="1272"/>
        <v>0</v>
      </c>
      <c r="T1379" s="238">
        <f t="shared" si="1272"/>
        <v>0</v>
      </c>
      <c r="U1379" s="238">
        <f t="shared" si="1272"/>
        <v>0</v>
      </c>
      <c r="V1379" s="238">
        <f t="shared" si="1265"/>
        <v>50000</v>
      </c>
      <c r="W1379" s="238">
        <f t="shared" si="1265"/>
        <v>50000</v>
      </c>
      <c r="X1379" s="238">
        <f t="shared" si="1265"/>
        <v>50000</v>
      </c>
    </row>
    <row r="1380" spans="1:24" s="229" customFormat="1" hidden="1">
      <c r="A1380" s="268" t="s">
        <v>359</v>
      </c>
      <c r="B1380" s="227" t="s">
        <v>402</v>
      </c>
      <c r="C1380" s="227" t="s">
        <v>18</v>
      </c>
      <c r="D1380" s="227" t="s">
        <v>17</v>
      </c>
      <c r="E1380" s="227" t="s">
        <v>82</v>
      </c>
      <c r="F1380" s="227" t="s">
        <v>70</v>
      </c>
      <c r="G1380" s="227" t="s">
        <v>148</v>
      </c>
      <c r="H1380" s="227" t="s">
        <v>358</v>
      </c>
      <c r="I1380" s="237"/>
      <c r="J1380" s="238"/>
      <c r="K1380" s="238"/>
      <c r="L1380" s="238"/>
      <c r="M1380" s="238"/>
      <c r="N1380" s="238"/>
      <c r="O1380" s="238"/>
      <c r="P1380" s="238">
        <f>P1381</f>
        <v>50000</v>
      </c>
      <c r="Q1380" s="238">
        <f t="shared" si="1272"/>
        <v>50000</v>
      </c>
      <c r="R1380" s="238">
        <f t="shared" si="1272"/>
        <v>50000</v>
      </c>
      <c r="S1380" s="238">
        <f t="shared" si="1272"/>
        <v>0</v>
      </c>
      <c r="T1380" s="238">
        <f t="shared" si="1272"/>
        <v>0</v>
      </c>
      <c r="U1380" s="238">
        <f t="shared" si="1272"/>
        <v>0</v>
      </c>
      <c r="V1380" s="238">
        <f t="shared" ref="V1380:X1394" si="1273">P1380+S1380</f>
        <v>50000</v>
      </c>
      <c r="W1380" s="238">
        <f t="shared" si="1273"/>
        <v>50000</v>
      </c>
      <c r="X1380" s="238">
        <f t="shared" si="1273"/>
        <v>50000</v>
      </c>
    </row>
    <row r="1381" spans="1:24" s="229" customFormat="1" ht="25.5" hidden="1">
      <c r="A1381" s="240" t="s">
        <v>260</v>
      </c>
      <c r="B1381" s="227" t="s">
        <v>402</v>
      </c>
      <c r="C1381" s="227" t="s">
        <v>18</v>
      </c>
      <c r="D1381" s="227" t="s">
        <v>17</v>
      </c>
      <c r="E1381" s="227" t="s">
        <v>82</v>
      </c>
      <c r="F1381" s="227" t="s">
        <v>70</v>
      </c>
      <c r="G1381" s="227" t="s">
        <v>148</v>
      </c>
      <c r="H1381" s="227" t="s">
        <v>358</v>
      </c>
      <c r="I1381" s="237" t="s">
        <v>94</v>
      </c>
      <c r="J1381" s="238"/>
      <c r="K1381" s="238"/>
      <c r="L1381" s="238"/>
      <c r="M1381" s="238"/>
      <c r="N1381" s="238"/>
      <c r="O1381" s="238"/>
      <c r="P1381" s="238">
        <f>P1382</f>
        <v>50000</v>
      </c>
      <c r="Q1381" s="238">
        <f t="shared" si="1272"/>
        <v>50000</v>
      </c>
      <c r="R1381" s="238">
        <f t="shared" si="1272"/>
        <v>50000</v>
      </c>
      <c r="S1381" s="238">
        <f t="shared" si="1272"/>
        <v>0</v>
      </c>
      <c r="T1381" s="238">
        <f t="shared" si="1272"/>
        <v>0</v>
      </c>
      <c r="U1381" s="238">
        <f t="shared" si="1272"/>
        <v>0</v>
      </c>
      <c r="V1381" s="238">
        <f t="shared" si="1273"/>
        <v>50000</v>
      </c>
      <c r="W1381" s="238">
        <f t="shared" si="1273"/>
        <v>50000</v>
      </c>
      <c r="X1381" s="238">
        <f t="shared" si="1273"/>
        <v>50000</v>
      </c>
    </row>
    <row r="1382" spans="1:24" s="229" customFormat="1" ht="25.5" hidden="1">
      <c r="A1382" s="239" t="s">
        <v>98</v>
      </c>
      <c r="B1382" s="227" t="s">
        <v>402</v>
      </c>
      <c r="C1382" s="227" t="s">
        <v>18</v>
      </c>
      <c r="D1382" s="227" t="s">
        <v>17</v>
      </c>
      <c r="E1382" s="227" t="s">
        <v>82</v>
      </c>
      <c r="F1382" s="227" t="s">
        <v>70</v>
      </c>
      <c r="G1382" s="227" t="s">
        <v>148</v>
      </c>
      <c r="H1382" s="227" t="s">
        <v>358</v>
      </c>
      <c r="I1382" s="237" t="s">
        <v>95</v>
      </c>
      <c r="J1382" s="238"/>
      <c r="K1382" s="238"/>
      <c r="L1382" s="238"/>
      <c r="M1382" s="238"/>
      <c r="N1382" s="238"/>
      <c r="O1382" s="238"/>
      <c r="P1382" s="238">
        <v>50000</v>
      </c>
      <c r="Q1382" s="238">
        <v>50000</v>
      </c>
      <c r="R1382" s="238">
        <v>50000</v>
      </c>
      <c r="S1382" s="238"/>
      <c r="T1382" s="238"/>
      <c r="U1382" s="238"/>
      <c r="V1382" s="238">
        <f t="shared" si="1273"/>
        <v>50000</v>
      </c>
      <c r="W1382" s="238">
        <f t="shared" si="1273"/>
        <v>50000</v>
      </c>
      <c r="X1382" s="238">
        <f t="shared" si="1273"/>
        <v>50000</v>
      </c>
    </row>
    <row r="1383" spans="1:24" s="255" customFormat="1" hidden="1">
      <c r="A1383" s="278" t="s">
        <v>68</v>
      </c>
      <c r="B1383" s="231" t="s">
        <v>402</v>
      </c>
      <c r="C1383" s="231" t="s">
        <v>18</v>
      </c>
      <c r="D1383" s="231" t="s">
        <v>13</v>
      </c>
      <c r="E1383" s="231"/>
      <c r="F1383" s="231"/>
      <c r="G1383" s="231"/>
      <c r="H1383" s="231"/>
      <c r="I1383" s="242"/>
      <c r="J1383" s="234"/>
      <c r="K1383" s="234"/>
      <c r="L1383" s="234"/>
      <c r="M1383" s="234"/>
      <c r="N1383" s="234"/>
      <c r="O1383" s="234"/>
      <c r="P1383" s="234">
        <f>P1384+P1388</f>
        <v>1667650</v>
      </c>
      <c r="Q1383" s="234">
        <f t="shared" ref="Q1383:U1383" si="1274">Q1384+Q1388</f>
        <v>356605.36</v>
      </c>
      <c r="R1383" s="234">
        <f t="shared" si="1274"/>
        <v>300647.93</v>
      </c>
      <c r="S1383" s="234">
        <f t="shared" si="1274"/>
        <v>0</v>
      </c>
      <c r="T1383" s="234">
        <f t="shared" si="1274"/>
        <v>0</v>
      </c>
      <c r="U1383" s="234">
        <f t="shared" si="1274"/>
        <v>0</v>
      </c>
      <c r="V1383" s="234">
        <f t="shared" si="1273"/>
        <v>1667650</v>
      </c>
      <c r="W1383" s="234">
        <f t="shared" si="1273"/>
        <v>356605.36</v>
      </c>
      <c r="X1383" s="234">
        <f t="shared" si="1273"/>
        <v>300647.93</v>
      </c>
    </row>
    <row r="1384" spans="1:24" s="229" customFormat="1" ht="38.25" hidden="1">
      <c r="A1384" s="298" t="s">
        <v>286</v>
      </c>
      <c r="B1384" s="227" t="s">
        <v>402</v>
      </c>
      <c r="C1384" s="227" t="s">
        <v>18</v>
      </c>
      <c r="D1384" s="227" t="s">
        <v>13</v>
      </c>
      <c r="E1384" s="227" t="s">
        <v>3</v>
      </c>
      <c r="F1384" s="227" t="s">
        <v>70</v>
      </c>
      <c r="G1384" s="227" t="s">
        <v>148</v>
      </c>
      <c r="H1384" s="227" t="s">
        <v>149</v>
      </c>
      <c r="I1384" s="237"/>
      <c r="J1384" s="238"/>
      <c r="K1384" s="238"/>
      <c r="L1384" s="238"/>
      <c r="M1384" s="238"/>
      <c r="N1384" s="238"/>
      <c r="O1384" s="238"/>
      <c r="P1384" s="238">
        <f>P1385</f>
        <v>1316000</v>
      </c>
      <c r="Q1384" s="238">
        <f t="shared" ref="Q1384:U1386" si="1275">Q1385</f>
        <v>0</v>
      </c>
      <c r="R1384" s="238">
        <f t="shared" si="1275"/>
        <v>0</v>
      </c>
      <c r="S1384" s="238">
        <f t="shared" si="1275"/>
        <v>0</v>
      </c>
      <c r="T1384" s="238">
        <f t="shared" si="1275"/>
        <v>0</v>
      </c>
      <c r="U1384" s="238">
        <f t="shared" si="1275"/>
        <v>0</v>
      </c>
      <c r="V1384" s="238">
        <f t="shared" si="1273"/>
        <v>1316000</v>
      </c>
      <c r="W1384" s="238">
        <f t="shared" si="1273"/>
        <v>0</v>
      </c>
      <c r="X1384" s="238">
        <f t="shared" si="1273"/>
        <v>0</v>
      </c>
    </row>
    <row r="1385" spans="1:24" s="229" customFormat="1" ht="25.5" hidden="1">
      <c r="A1385" s="268" t="s">
        <v>312</v>
      </c>
      <c r="B1385" s="227" t="s">
        <v>402</v>
      </c>
      <c r="C1385" s="227" t="s">
        <v>18</v>
      </c>
      <c r="D1385" s="227" t="s">
        <v>13</v>
      </c>
      <c r="E1385" s="227" t="s">
        <v>3</v>
      </c>
      <c r="F1385" s="227" t="s">
        <v>70</v>
      </c>
      <c r="G1385" s="227" t="s">
        <v>148</v>
      </c>
      <c r="H1385" s="227" t="s">
        <v>311</v>
      </c>
      <c r="I1385" s="237"/>
      <c r="J1385" s="238"/>
      <c r="K1385" s="238"/>
      <c r="L1385" s="238"/>
      <c r="M1385" s="238"/>
      <c r="N1385" s="238"/>
      <c r="O1385" s="238"/>
      <c r="P1385" s="238">
        <f>P1386</f>
        <v>1316000</v>
      </c>
      <c r="Q1385" s="238">
        <f t="shared" si="1275"/>
        <v>0</v>
      </c>
      <c r="R1385" s="238">
        <f t="shared" si="1275"/>
        <v>0</v>
      </c>
      <c r="S1385" s="238">
        <f t="shared" si="1275"/>
        <v>0</v>
      </c>
      <c r="T1385" s="238">
        <f t="shared" si="1275"/>
        <v>0</v>
      </c>
      <c r="U1385" s="238">
        <f t="shared" si="1275"/>
        <v>0</v>
      </c>
      <c r="V1385" s="238">
        <f t="shared" si="1273"/>
        <v>1316000</v>
      </c>
      <c r="W1385" s="238">
        <f t="shared" si="1273"/>
        <v>0</v>
      </c>
      <c r="X1385" s="238">
        <f t="shared" si="1273"/>
        <v>0</v>
      </c>
    </row>
    <row r="1386" spans="1:24" s="229" customFormat="1" ht="25.5" hidden="1">
      <c r="A1386" s="240" t="s">
        <v>260</v>
      </c>
      <c r="B1386" s="227" t="s">
        <v>402</v>
      </c>
      <c r="C1386" s="227" t="s">
        <v>18</v>
      </c>
      <c r="D1386" s="227" t="s">
        <v>13</v>
      </c>
      <c r="E1386" s="227" t="s">
        <v>3</v>
      </c>
      <c r="F1386" s="227" t="s">
        <v>70</v>
      </c>
      <c r="G1386" s="227" t="s">
        <v>148</v>
      </c>
      <c r="H1386" s="227" t="s">
        <v>311</v>
      </c>
      <c r="I1386" s="237" t="s">
        <v>94</v>
      </c>
      <c r="J1386" s="238"/>
      <c r="K1386" s="238"/>
      <c r="L1386" s="238"/>
      <c r="M1386" s="238"/>
      <c r="N1386" s="238"/>
      <c r="O1386" s="238"/>
      <c r="P1386" s="238">
        <f>P1387</f>
        <v>1316000</v>
      </c>
      <c r="Q1386" s="238">
        <f t="shared" si="1275"/>
        <v>0</v>
      </c>
      <c r="R1386" s="238">
        <f t="shared" si="1275"/>
        <v>0</v>
      </c>
      <c r="S1386" s="238">
        <f t="shared" si="1275"/>
        <v>0</v>
      </c>
      <c r="T1386" s="238">
        <f t="shared" si="1275"/>
        <v>0</v>
      </c>
      <c r="U1386" s="238">
        <f t="shared" si="1275"/>
        <v>0</v>
      </c>
      <c r="V1386" s="238">
        <f t="shared" si="1273"/>
        <v>1316000</v>
      </c>
      <c r="W1386" s="238">
        <f t="shared" si="1273"/>
        <v>0</v>
      </c>
      <c r="X1386" s="238">
        <f t="shared" si="1273"/>
        <v>0</v>
      </c>
    </row>
    <row r="1387" spans="1:24" s="229" customFormat="1" ht="25.5" hidden="1">
      <c r="A1387" s="239" t="s">
        <v>98</v>
      </c>
      <c r="B1387" s="227" t="s">
        <v>402</v>
      </c>
      <c r="C1387" s="227" t="s">
        <v>18</v>
      </c>
      <c r="D1387" s="227" t="s">
        <v>13</v>
      </c>
      <c r="E1387" s="227" t="s">
        <v>3</v>
      </c>
      <c r="F1387" s="227" t="s">
        <v>70</v>
      </c>
      <c r="G1387" s="227" t="s">
        <v>148</v>
      </c>
      <c r="H1387" s="227" t="s">
        <v>311</v>
      </c>
      <c r="I1387" s="237" t="s">
        <v>95</v>
      </c>
      <c r="J1387" s="238"/>
      <c r="K1387" s="238"/>
      <c r="L1387" s="238"/>
      <c r="M1387" s="238"/>
      <c r="N1387" s="238"/>
      <c r="O1387" s="238"/>
      <c r="P1387" s="238">
        <v>1316000</v>
      </c>
      <c r="Q1387" s="238">
        <f t="shared" ref="Q1387:R1387" si="1276">K1387+N1387</f>
        <v>0</v>
      </c>
      <c r="R1387" s="238">
        <f t="shared" si="1276"/>
        <v>0</v>
      </c>
      <c r="S1387" s="238"/>
      <c r="T1387" s="238"/>
      <c r="U1387" s="238"/>
      <c r="V1387" s="238">
        <f t="shared" si="1273"/>
        <v>1316000</v>
      </c>
      <c r="W1387" s="238">
        <f t="shared" si="1273"/>
        <v>0</v>
      </c>
      <c r="X1387" s="238">
        <f t="shared" si="1273"/>
        <v>0</v>
      </c>
    </row>
    <row r="1388" spans="1:24" s="229" customFormat="1" hidden="1">
      <c r="A1388" s="235" t="s">
        <v>83</v>
      </c>
      <c r="B1388" s="227" t="s">
        <v>402</v>
      </c>
      <c r="C1388" s="227" t="s">
        <v>18</v>
      </c>
      <c r="D1388" s="227" t="s">
        <v>13</v>
      </c>
      <c r="E1388" s="227" t="s">
        <v>82</v>
      </c>
      <c r="F1388" s="227" t="s">
        <v>70</v>
      </c>
      <c r="G1388" s="227" t="s">
        <v>148</v>
      </c>
      <c r="H1388" s="227" t="s">
        <v>149</v>
      </c>
      <c r="I1388" s="237"/>
      <c r="J1388" s="238"/>
      <c r="K1388" s="238"/>
      <c r="L1388" s="238"/>
      <c r="M1388" s="238"/>
      <c r="N1388" s="238"/>
      <c r="O1388" s="238"/>
      <c r="P1388" s="238">
        <f>P1389+P1392</f>
        <v>351650</v>
      </c>
      <c r="Q1388" s="238">
        <f t="shared" ref="Q1388:U1388" si="1277">Q1389+Q1392</f>
        <v>356605.36</v>
      </c>
      <c r="R1388" s="238">
        <f t="shared" si="1277"/>
        <v>300647.93</v>
      </c>
      <c r="S1388" s="238">
        <f t="shared" si="1277"/>
        <v>0</v>
      </c>
      <c r="T1388" s="238">
        <f t="shared" si="1277"/>
        <v>0</v>
      </c>
      <c r="U1388" s="238">
        <f t="shared" si="1277"/>
        <v>0</v>
      </c>
      <c r="V1388" s="238">
        <f t="shared" si="1273"/>
        <v>351650</v>
      </c>
      <c r="W1388" s="238">
        <f t="shared" si="1273"/>
        <v>356605.36</v>
      </c>
      <c r="X1388" s="238">
        <f t="shared" si="1273"/>
        <v>300647.93</v>
      </c>
    </row>
    <row r="1389" spans="1:24" s="229" customFormat="1" ht="14.25" hidden="1">
      <c r="A1389" s="283" t="s">
        <v>362</v>
      </c>
      <c r="B1389" s="227" t="s">
        <v>402</v>
      </c>
      <c r="C1389" s="227" t="s">
        <v>18</v>
      </c>
      <c r="D1389" s="227" t="s">
        <v>13</v>
      </c>
      <c r="E1389" s="227" t="s">
        <v>82</v>
      </c>
      <c r="F1389" s="227" t="s">
        <v>70</v>
      </c>
      <c r="G1389" s="227" t="s">
        <v>148</v>
      </c>
      <c r="H1389" s="227" t="s">
        <v>361</v>
      </c>
      <c r="I1389" s="237"/>
      <c r="J1389" s="238"/>
      <c r="K1389" s="238"/>
      <c r="L1389" s="238"/>
      <c r="M1389" s="238"/>
      <c r="N1389" s="238"/>
      <c r="O1389" s="238"/>
      <c r="P1389" s="238">
        <f>P1390</f>
        <v>23767</v>
      </c>
      <c r="Q1389" s="238">
        <f t="shared" ref="Q1389:U1390" si="1278">Q1390</f>
        <v>23767</v>
      </c>
      <c r="R1389" s="238">
        <f t="shared" si="1278"/>
        <v>23767</v>
      </c>
      <c r="S1389" s="238">
        <f t="shared" si="1278"/>
        <v>0</v>
      </c>
      <c r="T1389" s="238">
        <f t="shared" si="1278"/>
        <v>0</v>
      </c>
      <c r="U1389" s="238">
        <f t="shared" si="1278"/>
        <v>0</v>
      </c>
      <c r="V1389" s="238">
        <f t="shared" si="1273"/>
        <v>23767</v>
      </c>
      <c r="W1389" s="238">
        <f t="shared" si="1273"/>
        <v>23767</v>
      </c>
      <c r="X1389" s="238">
        <f t="shared" si="1273"/>
        <v>23767</v>
      </c>
    </row>
    <row r="1390" spans="1:24" s="229" customFormat="1" ht="25.5" hidden="1">
      <c r="A1390" s="240" t="s">
        <v>260</v>
      </c>
      <c r="B1390" s="227" t="s">
        <v>402</v>
      </c>
      <c r="C1390" s="227" t="s">
        <v>18</v>
      </c>
      <c r="D1390" s="227" t="s">
        <v>13</v>
      </c>
      <c r="E1390" s="227" t="s">
        <v>82</v>
      </c>
      <c r="F1390" s="227" t="s">
        <v>70</v>
      </c>
      <c r="G1390" s="227" t="s">
        <v>148</v>
      </c>
      <c r="H1390" s="227" t="s">
        <v>361</v>
      </c>
      <c r="I1390" s="237" t="s">
        <v>94</v>
      </c>
      <c r="J1390" s="238"/>
      <c r="K1390" s="238"/>
      <c r="L1390" s="238"/>
      <c r="M1390" s="238"/>
      <c r="N1390" s="238"/>
      <c r="O1390" s="238"/>
      <c r="P1390" s="238">
        <f>P1391</f>
        <v>23767</v>
      </c>
      <c r="Q1390" s="238">
        <f t="shared" si="1278"/>
        <v>23767</v>
      </c>
      <c r="R1390" s="238">
        <f t="shared" si="1278"/>
        <v>23767</v>
      </c>
      <c r="S1390" s="238">
        <f t="shared" si="1278"/>
        <v>0</v>
      </c>
      <c r="T1390" s="238">
        <f t="shared" si="1278"/>
        <v>0</v>
      </c>
      <c r="U1390" s="238">
        <f t="shared" si="1278"/>
        <v>0</v>
      </c>
      <c r="V1390" s="238">
        <f t="shared" si="1273"/>
        <v>23767</v>
      </c>
      <c r="W1390" s="238">
        <f t="shared" si="1273"/>
        <v>23767</v>
      </c>
      <c r="X1390" s="238">
        <f t="shared" si="1273"/>
        <v>23767</v>
      </c>
    </row>
    <row r="1391" spans="1:24" s="229" customFormat="1" ht="25.5" hidden="1">
      <c r="A1391" s="239" t="s">
        <v>98</v>
      </c>
      <c r="B1391" s="227" t="s">
        <v>402</v>
      </c>
      <c r="C1391" s="227" t="s">
        <v>18</v>
      </c>
      <c r="D1391" s="227" t="s">
        <v>13</v>
      </c>
      <c r="E1391" s="227" t="s">
        <v>82</v>
      </c>
      <c r="F1391" s="227" t="s">
        <v>70</v>
      </c>
      <c r="G1391" s="227" t="s">
        <v>148</v>
      </c>
      <c r="H1391" s="227" t="s">
        <v>361</v>
      </c>
      <c r="I1391" s="237" t="s">
        <v>95</v>
      </c>
      <c r="J1391" s="238"/>
      <c r="K1391" s="238"/>
      <c r="L1391" s="238"/>
      <c r="M1391" s="238"/>
      <c r="N1391" s="238"/>
      <c r="O1391" s="238"/>
      <c r="P1391" s="238">
        <v>23767</v>
      </c>
      <c r="Q1391" s="238">
        <v>23767</v>
      </c>
      <c r="R1391" s="238">
        <v>23767</v>
      </c>
      <c r="S1391" s="238"/>
      <c r="T1391" s="238"/>
      <c r="U1391" s="238"/>
      <c r="V1391" s="238">
        <f t="shared" si="1273"/>
        <v>23767</v>
      </c>
      <c r="W1391" s="238">
        <f t="shared" si="1273"/>
        <v>23767</v>
      </c>
      <c r="X1391" s="238">
        <f t="shared" si="1273"/>
        <v>23767</v>
      </c>
    </row>
    <row r="1392" spans="1:24" s="229" customFormat="1" hidden="1">
      <c r="A1392" s="239" t="s">
        <v>367</v>
      </c>
      <c r="B1392" s="227" t="s">
        <v>402</v>
      </c>
      <c r="C1392" s="227" t="s">
        <v>18</v>
      </c>
      <c r="D1392" s="227" t="s">
        <v>13</v>
      </c>
      <c r="E1392" s="227" t="s">
        <v>82</v>
      </c>
      <c r="F1392" s="227" t="s">
        <v>70</v>
      </c>
      <c r="G1392" s="227" t="s">
        <v>148</v>
      </c>
      <c r="H1392" s="227" t="s">
        <v>360</v>
      </c>
      <c r="I1392" s="237"/>
      <c r="J1392" s="238"/>
      <c r="K1392" s="238"/>
      <c r="L1392" s="238"/>
      <c r="M1392" s="238"/>
      <c r="N1392" s="238"/>
      <c r="O1392" s="238"/>
      <c r="P1392" s="238">
        <f>P1393</f>
        <v>327883</v>
      </c>
      <c r="Q1392" s="238">
        <f t="shared" ref="Q1392:U1393" si="1279">Q1393</f>
        <v>332838.36</v>
      </c>
      <c r="R1392" s="238">
        <f t="shared" si="1279"/>
        <v>276880.93</v>
      </c>
      <c r="S1392" s="238">
        <f t="shared" si="1279"/>
        <v>0</v>
      </c>
      <c r="T1392" s="238">
        <f t="shared" si="1279"/>
        <v>0</v>
      </c>
      <c r="U1392" s="238">
        <f t="shared" si="1279"/>
        <v>0</v>
      </c>
      <c r="V1392" s="238">
        <f t="shared" si="1273"/>
        <v>327883</v>
      </c>
      <c r="W1392" s="238">
        <f t="shared" si="1273"/>
        <v>332838.36</v>
      </c>
      <c r="X1392" s="238">
        <f t="shared" si="1273"/>
        <v>276880.93</v>
      </c>
    </row>
    <row r="1393" spans="1:24" s="229" customFormat="1" ht="25.5" hidden="1">
      <c r="A1393" s="240" t="s">
        <v>260</v>
      </c>
      <c r="B1393" s="227" t="s">
        <v>402</v>
      </c>
      <c r="C1393" s="227" t="s">
        <v>18</v>
      </c>
      <c r="D1393" s="227" t="s">
        <v>13</v>
      </c>
      <c r="E1393" s="227" t="s">
        <v>82</v>
      </c>
      <c r="F1393" s="227" t="s">
        <v>70</v>
      </c>
      <c r="G1393" s="227" t="s">
        <v>148</v>
      </c>
      <c r="H1393" s="227" t="s">
        <v>360</v>
      </c>
      <c r="I1393" s="237" t="s">
        <v>94</v>
      </c>
      <c r="J1393" s="238"/>
      <c r="K1393" s="238"/>
      <c r="L1393" s="238"/>
      <c r="M1393" s="238"/>
      <c r="N1393" s="238"/>
      <c r="O1393" s="238"/>
      <c r="P1393" s="238">
        <f>P1394</f>
        <v>327883</v>
      </c>
      <c r="Q1393" s="238">
        <f t="shared" si="1279"/>
        <v>332838.36</v>
      </c>
      <c r="R1393" s="238">
        <f t="shared" si="1279"/>
        <v>276880.93</v>
      </c>
      <c r="S1393" s="238">
        <f t="shared" si="1279"/>
        <v>0</v>
      </c>
      <c r="T1393" s="238">
        <f t="shared" si="1279"/>
        <v>0</v>
      </c>
      <c r="U1393" s="238">
        <f t="shared" si="1279"/>
        <v>0</v>
      </c>
      <c r="V1393" s="238">
        <f t="shared" si="1273"/>
        <v>327883</v>
      </c>
      <c r="W1393" s="238">
        <f t="shared" si="1273"/>
        <v>332838.36</v>
      </c>
      <c r="X1393" s="238">
        <f t="shared" si="1273"/>
        <v>276880.93</v>
      </c>
    </row>
    <row r="1394" spans="1:24" s="229" customFormat="1" ht="25.5" hidden="1">
      <c r="A1394" s="239" t="s">
        <v>98</v>
      </c>
      <c r="B1394" s="227" t="s">
        <v>402</v>
      </c>
      <c r="C1394" s="227" t="s">
        <v>18</v>
      </c>
      <c r="D1394" s="227" t="s">
        <v>13</v>
      </c>
      <c r="E1394" s="227" t="s">
        <v>82</v>
      </c>
      <c r="F1394" s="227" t="s">
        <v>70</v>
      </c>
      <c r="G1394" s="227" t="s">
        <v>148</v>
      </c>
      <c r="H1394" s="227" t="s">
        <v>360</v>
      </c>
      <c r="I1394" s="237" t="s">
        <v>95</v>
      </c>
      <c r="J1394" s="238"/>
      <c r="K1394" s="238"/>
      <c r="L1394" s="238"/>
      <c r="M1394" s="238"/>
      <c r="N1394" s="238"/>
      <c r="O1394" s="238"/>
      <c r="P1394" s="238">
        <f>203999+123884</f>
        <v>327883</v>
      </c>
      <c r="Q1394" s="238">
        <f>203999+128839.36</f>
        <v>332838.36</v>
      </c>
      <c r="R1394" s="238">
        <f>142888+133992.93</f>
        <v>276880.93</v>
      </c>
      <c r="S1394" s="238"/>
      <c r="T1394" s="238"/>
      <c r="U1394" s="238"/>
      <c r="V1394" s="238">
        <f t="shared" si="1273"/>
        <v>327883</v>
      </c>
      <c r="W1394" s="238">
        <f t="shared" si="1273"/>
        <v>332838.36</v>
      </c>
      <c r="X1394" s="238">
        <f t="shared" si="1273"/>
        <v>276880.93</v>
      </c>
    </row>
    <row r="1395" spans="1:24" s="222" customFormat="1" ht="15.75" hidden="1">
      <c r="A1395" s="221" t="s">
        <v>464</v>
      </c>
      <c r="P1395" s="223">
        <f t="shared" ref="P1395:X1395" si="1280">P1396+P1412+P1420+P1429+P1440</f>
        <v>6789911.7200000007</v>
      </c>
      <c r="Q1395" s="223">
        <f t="shared" si="1280"/>
        <v>3640533.1599999997</v>
      </c>
      <c r="R1395" s="223">
        <f t="shared" si="1280"/>
        <v>3563335.4200000004</v>
      </c>
      <c r="S1395" s="223">
        <f t="shared" si="1280"/>
        <v>0</v>
      </c>
      <c r="T1395" s="223">
        <f t="shared" si="1280"/>
        <v>0</v>
      </c>
      <c r="U1395" s="223">
        <f t="shared" si="1280"/>
        <v>0</v>
      </c>
      <c r="V1395" s="223">
        <f t="shared" si="1280"/>
        <v>6789911.7200000007</v>
      </c>
      <c r="W1395" s="223">
        <f t="shared" si="1280"/>
        <v>3640533.1599999997</v>
      </c>
      <c r="X1395" s="223">
        <f t="shared" si="1280"/>
        <v>3563335.4200000004</v>
      </c>
    </row>
    <row r="1396" spans="1:24" s="229" customFormat="1" ht="15.75" hidden="1">
      <c r="A1396" s="225" t="s">
        <v>32</v>
      </c>
      <c r="B1396" s="226" t="s">
        <v>402</v>
      </c>
      <c r="C1396" s="226" t="s">
        <v>20</v>
      </c>
      <c r="D1396" s="227"/>
      <c r="E1396" s="227"/>
      <c r="F1396" s="227"/>
      <c r="G1396" s="227"/>
      <c r="H1396" s="227"/>
      <c r="I1396" s="227"/>
      <c r="J1396" s="228"/>
      <c r="K1396" s="228"/>
      <c r="L1396" s="228"/>
      <c r="M1396" s="228"/>
      <c r="N1396" s="228"/>
      <c r="O1396" s="228"/>
      <c r="P1396" s="228">
        <f t="shared" ref="P1396:U1396" si="1281">P1397+P1406</f>
        <v>3584195</v>
      </c>
      <c r="Q1396" s="228">
        <f t="shared" si="1281"/>
        <v>3315437.92</v>
      </c>
      <c r="R1396" s="228">
        <f t="shared" si="1281"/>
        <v>3291341.89</v>
      </c>
      <c r="S1396" s="228">
        <f t="shared" si="1281"/>
        <v>0</v>
      </c>
      <c r="T1396" s="228">
        <f t="shared" si="1281"/>
        <v>0</v>
      </c>
      <c r="U1396" s="228">
        <f t="shared" si="1281"/>
        <v>0</v>
      </c>
      <c r="V1396" s="228">
        <f t="shared" ref="V1396:X1411" si="1282">P1396+S1396</f>
        <v>3584195</v>
      </c>
      <c r="W1396" s="228">
        <f t="shared" si="1282"/>
        <v>3315437.92</v>
      </c>
      <c r="X1396" s="228">
        <f t="shared" si="1282"/>
        <v>3291341.89</v>
      </c>
    </row>
    <row r="1397" spans="1:24" s="229" customFormat="1" ht="38.25" hidden="1">
      <c r="A1397" s="230" t="s">
        <v>0</v>
      </c>
      <c r="B1397" s="231" t="s">
        <v>402</v>
      </c>
      <c r="C1397" s="231" t="s">
        <v>20</v>
      </c>
      <c r="D1397" s="231" t="s">
        <v>16</v>
      </c>
      <c r="E1397" s="231"/>
      <c r="F1397" s="231"/>
      <c r="G1397" s="231"/>
      <c r="H1397" s="227"/>
      <c r="I1397" s="237"/>
      <c r="J1397" s="234"/>
      <c r="K1397" s="234"/>
      <c r="L1397" s="234"/>
      <c r="M1397" s="234"/>
      <c r="N1397" s="234"/>
      <c r="O1397" s="234"/>
      <c r="P1397" s="234">
        <f>P1398</f>
        <v>3284195</v>
      </c>
      <c r="Q1397" s="234">
        <f t="shared" ref="Q1397:U1398" si="1283">Q1398</f>
        <v>3315437.92</v>
      </c>
      <c r="R1397" s="234">
        <f t="shared" si="1283"/>
        <v>3291341.89</v>
      </c>
      <c r="S1397" s="234">
        <f t="shared" si="1283"/>
        <v>0</v>
      </c>
      <c r="T1397" s="234">
        <f t="shared" si="1283"/>
        <v>0</v>
      </c>
      <c r="U1397" s="234">
        <f t="shared" si="1283"/>
        <v>0</v>
      </c>
      <c r="V1397" s="234">
        <f t="shared" si="1282"/>
        <v>3284195</v>
      </c>
      <c r="W1397" s="234">
        <f t="shared" si="1282"/>
        <v>3315437.92</v>
      </c>
      <c r="X1397" s="234">
        <f t="shared" si="1282"/>
        <v>3291341.89</v>
      </c>
    </row>
    <row r="1398" spans="1:24" s="229" customFormat="1" hidden="1">
      <c r="A1398" s="235" t="s">
        <v>83</v>
      </c>
      <c r="B1398" s="227" t="s">
        <v>402</v>
      </c>
      <c r="C1398" s="227" t="s">
        <v>20</v>
      </c>
      <c r="D1398" s="227" t="s">
        <v>16</v>
      </c>
      <c r="E1398" s="227" t="s">
        <v>82</v>
      </c>
      <c r="F1398" s="227" t="s">
        <v>70</v>
      </c>
      <c r="G1398" s="227" t="s">
        <v>148</v>
      </c>
      <c r="H1398" s="227" t="s">
        <v>149</v>
      </c>
      <c r="I1398" s="237"/>
      <c r="J1398" s="238"/>
      <c r="K1398" s="238"/>
      <c r="L1398" s="238"/>
      <c r="M1398" s="238"/>
      <c r="N1398" s="238"/>
      <c r="O1398" s="238"/>
      <c r="P1398" s="238">
        <f>P1399</f>
        <v>3284195</v>
      </c>
      <c r="Q1398" s="238">
        <f t="shared" si="1283"/>
        <v>3315437.92</v>
      </c>
      <c r="R1398" s="238">
        <f t="shared" si="1283"/>
        <v>3291341.89</v>
      </c>
      <c r="S1398" s="238">
        <f t="shared" si="1283"/>
        <v>0</v>
      </c>
      <c r="T1398" s="238">
        <f t="shared" si="1283"/>
        <v>0</v>
      </c>
      <c r="U1398" s="238">
        <f t="shared" si="1283"/>
        <v>0</v>
      </c>
      <c r="V1398" s="238">
        <f t="shared" si="1282"/>
        <v>3284195</v>
      </c>
      <c r="W1398" s="238">
        <f t="shared" si="1282"/>
        <v>3315437.92</v>
      </c>
      <c r="X1398" s="238">
        <f t="shared" si="1282"/>
        <v>3291341.89</v>
      </c>
    </row>
    <row r="1399" spans="1:24" s="229" customFormat="1" ht="25.5" hidden="1">
      <c r="A1399" s="235" t="s">
        <v>87</v>
      </c>
      <c r="B1399" s="227" t="s">
        <v>402</v>
      </c>
      <c r="C1399" s="227" t="s">
        <v>20</v>
      </c>
      <c r="D1399" s="227" t="s">
        <v>16</v>
      </c>
      <c r="E1399" s="227" t="s">
        <v>82</v>
      </c>
      <c r="F1399" s="227" t="s">
        <v>70</v>
      </c>
      <c r="G1399" s="227" t="s">
        <v>148</v>
      </c>
      <c r="H1399" s="227" t="s">
        <v>158</v>
      </c>
      <c r="I1399" s="237"/>
      <c r="J1399" s="238"/>
      <c r="K1399" s="238"/>
      <c r="L1399" s="238"/>
      <c r="M1399" s="238"/>
      <c r="N1399" s="238"/>
      <c r="O1399" s="238"/>
      <c r="P1399" s="238">
        <f>P1400+P1402+P1404</f>
        <v>3284195</v>
      </c>
      <c r="Q1399" s="238">
        <f t="shared" ref="Q1399:U1399" si="1284">Q1400+Q1402+Q1404</f>
        <v>3315437.92</v>
      </c>
      <c r="R1399" s="238">
        <f t="shared" si="1284"/>
        <v>3291341.89</v>
      </c>
      <c r="S1399" s="238">
        <f t="shared" si="1284"/>
        <v>0</v>
      </c>
      <c r="T1399" s="238">
        <f t="shared" si="1284"/>
        <v>0</v>
      </c>
      <c r="U1399" s="238">
        <f t="shared" si="1284"/>
        <v>0</v>
      </c>
      <c r="V1399" s="238">
        <f t="shared" si="1282"/>
        <v>3284195</v>
      </c>
      <c r="W1399" s="238">
        <f t="shared" si="1282"/>
        <v>3315437.92</v>
      </c>
      <c r="X1399" s="238">
        <f t="shared" si="1282"/>
        <v>3291341.89</v>
      </c>
    </row>
    <row r="1400" spans="1:24" s="229" customFormat="1" ht="38.25" hidden="1">
      <c r="A1400" s="239" t="s">
        <v>96</v>
      </c>
      <c r="B1400" s="227" t="s">
        <v>402</v>
      </c>
      <c r="C1400" s="227" t="s">
        <v>20</v>
      </c>
      <c r="D1400" s="227" t="s">
        <v>16</v>
      </c>
      <c r="E1400" s="227" t="s">
        <v>82</v>
      </c>
      <c r="F1400" s="227" t="s">
        <v>70</v>
      </c>
      <c r="G1400" s="227" t="s">
        <v>148</v>
      </c>
      <c r="H1400" s="227" t="s">
        <v>158</v>
      </c>
      <c r="I1400" s="237" t="s">
        <v>92</v>
      </c>
      <c r="J1400" s="238"/>
      <c r="K1400" s="238"/>
      <c r="L1400" s="238"/>
      <c r="M1400" s="238"/>
      <c r="N1400" s="238"/>
      <c r="O1400" s="238"/>
      <c r="P1400" s="238">
        <f>P1401</f>
        <v>3178224</v>
      </c>
      <c r="Q1400" s="238">
        <f t="shared" ref="Q1400:U1400" si="1285">Q1401</f>
        <v>3209254</v>
      </c>
      <c r="R1400" s="238">
        <f t="shared" si="1285"/>
        <v>3210594.5300000003</v>
      </c>
      <c r="S1400" s="238">
        <f t="shared" si="1285"/>
        <v>0</v>
      </c>
      <c r="T1400" s="238">
        <f t="shared" si="1285"/>
        <v>0</v>
      </c>
      <c r="U1400" s="238">
        <f t="shared" si="1285"/>
        <v>0</v>
      </c>
      <c r="V1400" s="238">
        <f t="shared" si="1282"/>
        <v>3178224</v>
      </c>
      <c r="W1400" s="238">
        <f t="shared" si="1282"/>
        <v>3209254</v>
      </c>
      <c r="X1400" s="238">
        <f t="shared" si="1282"/>
        <v>3210594.5300000003</v>
      </c>
    </row>
    <row r="1401" spans="1:24" s="229" customFormat="1" hidden="1">
      <c r="A1401" s="239" t="s">
        <v>103</v>
      </c>
      <c r="B1401" s="227" t="s">
        <v>402</v>
      </c>
      <c r="C1401" s="227" t="s">
        <v>20</v>
      </c>
      <c r="D1401" s="227" t="s">
        <v>16</v>
      </c>
      <c r="E1401" s="227" t="s">
        <v>82</v>
      </c>
      <c r="F1401" s="227" t="s">
        <v>70</v>
      </c>
      <c r="G1401" s="227" t="s">
        <v>148</v>
      </c>
      <c r="H1401" s="227" t="s">
        <v>158</v>
      </c>
      <c r="I1401" s="237" t="s">
        <v>102</v>
      </c>
      <c r="J1401" s="238"/>
      <c r="K1401" s="238"/>
      <c r="L1401" s="238"/>
      <c r="M1401" s="238"/>
      <c r="N1401" s="238"/>
      <c r="O1401" s="238"/>
      <c r="P1401" s="238">
        <f>2184738+75201+918285</f>
        <v>3178224</v>
      </c>
      <c r="Q1401" s="238">
        <f>2187570+75201+946483</f>
        <v>3209254</v>
      </c>
      <c r="R1401" s="238">
        <f>2209445+45201+955948.53</f>
        <v>3210594.5300000003</v>
      </c>
      <c r="S1401" s="238"/>
      <c r="T1401" s="238"/>
      <c r="U1401" s="238"/>
      <c r="V1401" s="238">
        <f t="shared" si="1282"/>
        <v>3178224</v>
      </c>
      <c r="W1401" s="238">
        <f t="shared" si="1282"/>
        <v>3209254</v>
      </c>
      <c r="X1401" s="238">
        <f t="shared" si="1282"/>
        <v>3210594.5300000003</v>
      </c>
    </row>
    <row r="1402" spans="1:24" s="229" customFormat="1" ht="25.5" hidden="1">
      <c r="A1402" s="240" t="s">
        <v>260</v>
      </c>
      <c r="B1402" s="227" t="s">
        <v>402</v>
      </c>
      <c r="C1402" s="227" t="s">
        <v>20</v>
      </c>
      <c r="D1402" s="227" t="s">
        <v>16</v>
      </c>
      <c r="E1402" s="227" t="s">
        <v>82</v>
      </c>
      <c r="F1402" s="227" t="s">
        <v>70</v>
      </c>
      <c r="G1402" s="227" t="s">
        <v>148</v>
      </c>
      <c r="H1402" s="227" t="s">
        <v>158</v>
      </c>
      <c r="I1402" s="237" t="s">
        <v>94</v>
      </c>
      <c r="J1402" s="238"/>
      <c r="K1402" s="238"/>
      <c r="L1402" s="238"/>
      <c r="M1402" s="238"/>
      <c r="N1402" s="238"/>
      <c r="O1402" s="238"/>
      <c r="P1402" s="238">
        <f>P1403</f>
        <v>98971</v>
      </c>
      <c r="Q1402" s="238">
        <f t="shared" ref="Q1402:U1402" si="1286">Q1403</f>
        <v>99183.92</v>
      </c>
      <c r="R1402" s="238">
        <f t="shared" si="1286"/>
        <v>73747.360000000001</v>
      </c>
      <c r="S1402" s="238">
        <f t="shared" si="1286"/>
        <v>0</v>
      </c>
      <c r="T1402" s="238">
        <f t="shared" si="1286"/>
        <v>0</v>
      </c>
      <c r="U1402" s="238">
        <f t="shared" si="1286"/>
        <v>0</v>
      </c>
      <c r="V1402" s="238">
        <f t="shared" si="1282"/>
        <v>98971</v>
      </c>
      <c r="W1402" s="238">
        <f t="shared" si="1282"/>
        <v>99183.92</v>
      </c>
      <c r="X1402" s="238">
        <f t="shared" si="1282"/>
        <v>73747.360000000001</v>
      </c>
    </row>
    <row r="1403" spans="1:24" s="229" customFormat="1" ht="25.5" hidden="1">
      <c r="A1403" s="239" t="s">
        <v>98</v>
      </c>
      <c r="B1403" s="227" t="s">
        <v>402</v>
      </c>
      <c r="C1403" s="227" t="s">
        <v>20</v>
      </c>
      <c r="D1403" s="227" t="s">
        <v>16</v>
      </c>
      <c r="E1403" s="227" t="s">
        <v>82</v>
      </c>
      <c r="F1403" s="227" t="s">
        <v>70</v>
      </c>
      <c r="G1403" s="227" t="s">
        <v>148</v>
      </c>
      <c r="H1403" s="227" t="s">
        <v>158</v>
      </c>
      <c r="I1403" s="237" t="s">
        <v>95</v>
      </c>
      <c r="J1403" s="238"/>
      <c r="K1403" s="238"/>
      <c r="L1403" s="238"/>
      <c r="M1403" s="238"/>
      <c r="N1403" s="238"/>
      <c r="O1403" s="238"/>
      <c r="P1403" s="238">
        <v>98971</v>
      </c>
      <c r="Q1403" s="238">
        <v>99183.92</v>
      </c>
      <c r="R1403" s="238">
        <v>73747.360000000001</v>
      </c>
      <c r="S1403" s="238"/>
      <c r="T1403" s="238"/>
      <c r="U1403" s="238"/>
      <c r="V1403" s="238">
        <f t="shared" si="1282"/>
        <v>98971</v>
      </c>
      <c r="W1403" s="238">
        <f t="shared" si="1282"/>
        <v>99183.92</v>
      </c>
      <c r="X1403" s="238">
        <f t="shared" si="1282"/>
        <v>73747.360000000001</v>
      </c>
    </row>
    <row r="1404" spans="1:24" s="229" customFormat="1" hidden="1">
      <c r="A1404" s="239" t="s">
        <v>80</v>
      </c>
      <c r="B1404" s="227" t="s">
        <v>402</v>
      </c>
      <c r="C1404" s="227" t="s">
        <v>20</v>
      </c>
      <c r="D1404" s="227" t="s">
        <v>16</v>
      </c>
      <c r="E1404" s="227" t="s">
        <v>82</v>
      </c>
      <c r="F1404" s="227" t="s">
        <v>70</v>
      </c>
      <c r="G1404" s="227" t="s">
        <v>148</v>
      </c>
      <c r="H1404" s="227" t="s">
        <v>158</v>
      </c>
      <c r="I1404" s="237" t="s">
        <v>77</v>
      </c>
      <c r="J1404" s="238"/>
      <c r="K1404" s="238"/>
      <c r="L1404" s="238"/>
      <c r="M1404" s="238"/>
      <c r="N1404" s="238"/>
      <c r="O1404" s="238"/>
      <c r="P1404" s="238">
        <f>P1405</f>
        <v>7000</v>
      </c>
      <c r="Q1404" s="238">
        <f t="shared" ref="Q1404:U1404" si="1287">Q1405</f>
        <v>7000</v>
      </c>
      <c r="R1404" s="238">
        <f t="shared" si="1287"/>
        <v>7000</v>
      </c>
      <c r="S1404" s="238">
        <f t="shared" si="1287"/>
        <v>0</v>
      </c>
      <c r="T1404" s="238">
        <f t="shared" si="1287"/>
        <v>0</v>
      </c>
      <c r="U1404" s="238">
        <f t="shared" si="1287"/>
        <v>0</v>
      </c>
      <c r="V1404" s="238">
        <f t="shared" si="1282"/>
        <v>7000</v>
      </c>
      <c r="W1404" s="238">
        <f t="shared" si="1282"/>
        <v>7000</v>
      </c>
      <c r="X1404" s="238">
        <f t="shared" si="1282"/>
        <v>7000</v>
      </c>
    </row>
    <row r="1405" spans="1:24" s="229" customFormat="1" hidden="1">
      <c r="A1405" s="241" t="s">
        <v>125</v>
      </c>
      <c r="B1405" s="227" t="s">
        <v>402</v>
      </c>
      <c r="C1405" s="227" t="s">
        <v>20</v>
      </c>
      <c r="D1405" s="227" t="s">
        <v>16</v>
      </c>
      <c r="E1405" s="227" t="s">
        <v>82</v>
      </c>
      <c r="F1405" s="227" t="s">
        <v>70</v>
      </c>
      <c r="G1405" s="227" t="s">
        <v>148</v>
      </c>
      <c r="H1405" s="227" t="s">
        <v>158</v>
      </c>
      <c r="I1405" s="237" t="s">
        <v>124</v>
      </c>
      <c r="J1405" s="238"/>
      <c r="K1405" s="238"/>
      <c r="L1405" s="238"/>
      <c r="M1405" s="238"/>
      <c r="N1405" s="238"/>
      <c r="O1405" s="238"/>
      <c r="P1405" s="238">
        <f>6500+500</f>
        <v>7000</v>
      </c>
      <c r="Q1405" s="238">
        <v>7000</v>
      </c>
      <c r="R1405" s="238">
        <v>7000</v>
      </c>
      <c r="S1405" s="238"/>
      <c r="T1405" s="238"/>
      <c r="U1405" s="238"/>
      <c r="V1405" s="238">
        <f t="shared" si="1282"/>
        <v>7000</v>
      </c>
      <c r="W1405" s="238">
        <f t="shared" si="1282"/>
        <v>7000</v>
      </c>
      <c r="X1405" s="238">
        <f t="shared" si="1282"/>
        <v>7000</v>
      </c>
    </row>
    <row r="1406" spans="1:24" s="229" customFormat="1" hidden="1">
      <c r="A1406" s="230" t="s">
        <v>1</v>
      </c>
      <c r="B1406" s="231" t="s">
        <v>402</v>
      </c>
      <c r="C1406" s="231" t="s">
        <v>20</v>
      </c>
      <c r="D1406" s="231" t="s">
        <v>49</v>
      </c>
      <c r="E1406" s="231"/>
      <c r="F1406" s="231"/>
      <c r="G1406" s="231"/>
      <c r="H1406" s="227"/>
      <c r="I1406" s="237"/>
      <c r="J1406" s="234"/>
      <c r="K1406" s="234"/>
      <c r="L1406" s="234"/>
      <c r="M1406" s="234"/>
      <c r="N1406" s="234"/>
      <c r="O1406" s="234"/>
      <c r="P1406" s="234">
        <f>P1407</f>
        <v>300000</v>
      </c>
      <c r="Q1406" s="234">
        <f t="shared" ref="Q1406:U1410" si="1288">Q1407</f>
        <v>0</v>
      </c>
      <c r="R1406" s="234">
        <f t="shared" si="1288"/>
        <v>0</v>
      </c>
      <c r="S1406" s="234">
        <f t="shared" si="1288"/>
        <v>0</v>
      </c>
      <c r="T1406" s="234">
        <f t="shared" si="1288"/>
        <v>0</v>
      </c>
      <c r="U1406" s="234">
        <f t="shared" si="1288"/>
        <v>0</v>
      </c>
      <c r="V1406" s="234">
        <f t="shared" si="1282"/>
        <v>300000</v>
      </c>
      <c r="W1406" s="234">
        <f t="shared" si="1282"/>
        <v>0</v>
      </c>
      <c r="X1406" s="234">
        <f t="shared" si="1282"/>
        <v>0</v>
      </c>
    </row>
    <row r="1407" spans="1:24" s="229" customFormat="1" ht="38.25" hidden="1">
      <c r="A1407" s="235" t="s">
        <v>289</v>
      </c>
      <c r="B1407" s="243" t="s">
        <v>402</v>
      </c>
      <c r="C1407" s="243" t="s">
        <v>20</v>
      </c>
      <c r="D1407" s="243" t="s">
        <v>49</v>
      </c>
      <c r="E1407" s="243" t="s">
        <v>27</v>
      </c>
      <c r="F1407" s="243" t="s">
        <v>70</v>
      </c>
      <c r="G1407" s="243" t="s">
        <v>148</v>
      </c>
      <c r="H1407" s="227" t="s">
        <v>149</v>
      </c>
      <c r="I1407" s="237"/>
      <c r="J1407" s="244"/>
      <c r="K1407" s="244"/>
      <c r="L1407" s="244"/>
      <c r="M1407" s="244"/>
      <c r="N1407" s="244"/>
      <c r="O1407" s="244"/>
      <c r="P1407" s="244">
        <f>P1408</f>
        <v>300000</v>
      </c>
      <c r="Q1407" s="244">
        <f t="shared" si="1288"/>
        <v>0</v>
      </c>
      <c r="R1407" s="244">
        <f t="shared" si="1288"/>
        <v>0</v>
      </c>
      <c r="S1407" s="244">
        <f t="shared" si="1288"/>
        <v>0</v>
      </c>
      <c r="T1407" s="244">
        <f t="shared" si="1288"/>
        <v>0</v>
      </c>
      <c r="U1407" s="244">
        <f t="shared" si="1288"/>
        <v>0</v>
      </c>
      <c r="V1407" s="244">
        <f t="shared" si="1282"/>
        <v>300000</v>
      </c>
      <c r="W1407" s="244">
        <f t="shared" si="1282"/>
        <v>0</v>
      </c>
      <c r="X1407" s="244">
        <f t="shared" si="1282"/>
        <v>0</v>
      </c>
    </row>
    <row r="1408" spans="1:24" s="229" customFormat="1" hidden="1">
      <c r="A1408" s="235" t="s">
        <v>211</v>
      </c>
      <c r="B1408" s="243" t="s">
        <v>402</v>
      </c>
      <c r="C1408" s="243" t="s">
        <v>20</v>
      </c>
      <c r="D1408" s="243" t="s">
        <v>49</v>
      </c>
      <c r="E1408" s="243" t="s">
        <v>27</v>
      </c>
      <c r="F1408" s="243" t="s">
        <v>44</v>
      </c>
      <c r="G1408" s="243" t="s">
        <v>148</v>
      </c>
      <c r="H1408" s="227" t="s">
        <v>149</v>
      </c>
      <c r="I1408" s="237"/>
      <c r="J1408" s="244"/>
      <c r="K1408" s="244"/>
      <c r="L1408" s="244"/>
      <c r="M1408" s="244"/>
      <c r="N1408" s="244"/>
      <c r="O1408" s="244"/>
      <c r="P1408" s="244">
        <f>P1409</f>
        <v>300000</v>
      </c>
      <c r="Q1408" s="244">
        <f t="shared" si="1288"/>
        <v>0</v>
      </c>
      <c r="R1408" s="244">
        <f t="shared" si="1288"/>
        <v>0</v>
      </c>
      <c r="S1408" s="244">
        <f t="shared" si="1288"/>
        <v>0</v>
      </c>
      <c r="T1408" s="244">
        <f t="shared" si="1288"/>
        <v>0</v>
      </c>
      <c r="U1408" s="244">
        <f t="shared" si="1288"/>
        <v>0</v>
      </c>
      <c r="V1408" s="244">
        <f t="shared" si="1282"/>
        <v>300000</v>
      </c>
      <c r="W1408" s="244">
        <f t="shared" si="1282"/>
        <v>0</v>
      </c>
      <c r="X1408" s="244">
        <f t="shared" si="1282"/>
        <v>0</v>
      </c>
    </row>
    <row r="1409" spans="1:24" s="229" customFormat="1" ht="25.5" hidden="1">
      <c r="A1409" s="268" t="s">
        <v>312</v>
      </c>
      <c r="B1409" s="243" t="s">
        <v>402</v>
      </c>
      <c r="C1409" s="243" t="s">
        <v>20</v>
      </c>
      <c r="D1409" s="243" t="s">
        <v>49</v>
      </c>
      <c r="E1409" s="243" t="s">
        <v>27</v>
      </c>
      <c r="F1409" s="243" t="s">
        <v>44</v>
      </c>
      <c r="G1409" s="243" t="s">
        <v>148</v>
      </c>
      <c r="H1409" s="227" t="s">
        <v>311</v>
      </c>
      <c r="I1409" s="237"/>
      <c r="J1409" s="244"/>
      <c r="K1409" s="244"/>
      <c r="L1409" s="244"/>
      <c r="M1409" s="244"/>
      <c r="N1409" s="244"/>
      <c r="O1409" s="244"/>
      <c r="P1409" s="244">
        <f>P1410</f>
        <v>300000</v>
      </c>
      <c r="Q1409" s="244">
        <f t="shared" si="1288"/>
        <v>0</v>
      </c>
      <c r="R1409" s="244">
        <f t="shared" si="1288"/>
        <v>0</v>
      </c>
      <c r="S1409" s="244">
        <f t="shared" si="1288"/>
        <v>0</v>
      </c>
      <c r="T1409" s="244">
        <f t="shared" si="1288"/>
        <v>0</v>
      </c>
      <c r="U1409" s="244">
        <f t="shared" si="1288"/>
        <v>0</v>
      </c>
      <c r="V1409" s="244">
        <f t="shared" si="1282"/>
        <v>300000</v>
      </c>
      <c r="W1409" s="244">
        <f t="shared" si="1282"/>
        <v>0</v>
      </c>
      <c r="X1409" s="244">
        <f t="shared" si="1282"/>
        <v>0</v>
      </c>
    </row>
    <row r="1410" spans="1:24" s="229" customFormat="1" ht="25.5" hidden="1">
      <c r="A1410" s="240" t="s">
        <v>260</v>
      </c>
      <c r="B1410" s="243" t="s">
        <v>402</v>
      </c>
      <c r="C1410" s="243" t="s">
        <v>20</v>
      </c>
      <c r="D1410" s="243" t="s">
        <v>49</v>
      </c>
      <c r="E1410" s="243" t="s">
        <v>27</v>
      </c>
      <c r="F1410" s="243" t="s">
        <v>44</v>
      </c>
      <c r="G1410" s="243" t="s">
        <v>148</v>
      </c>
      <c r="H1410" s="227" t="s">
        <v>311</v>
      </c>
      <c r="I1410" s="237" t="s">
        <v>94</v>
      </c>
      <c r="J1410" s="244"/>
      <c r="K1410" s="244"/>
      <c r="L1410" s="244"/>
      <c r="M1410" s="244"/>
      <c r="N1410" s="244"/>
      <c r="O1410" s="244"/>
      <c r="P1410" s="244">
        <f>P1411</f>
        <v>300000</v>
      </c>
      <c r="Q1410" s="244">
        <f t="shared" si="1288"/>
        <v>0</v>
      </c>
      <c r="R1410" s="244">
        <f t="shared" si="1288"/>
        <v>0</v>
      </c>
      <c r="S1410" s="244">
        <f t="shared" si="1288"/>
        <v>0</v>
      </c>
      <c r="T1410" s="244">
        <f t="shared" si="1288"/>
        <v>0</v>
      </c>
      <c r="U1410" s="244">
        <f t="shared" si="1288"/>
        <v>0</v>
      </c>
      <c r="V1410" s="244">
        <f t="shared" si="1282"/>
        <v>300000</v>
      </c>
      <c r="W1410" s="244">
        <f t="shared" si="1282"/>
        <v>0</v>
      </c>
      <c r="X1410" s="244">
        <f t="shared" si="1282"/>
        <v>0</v>
      </c>
    </row>
    <row r="1411" spans="1:24" s="229" customFormat="1" ht="25.5" hidden="1">
      <c r="A1411" s="239" t="s">
        <v>98</v>
      </c>
      <c r="B1411" s="243" t="s">
        <v>402</v>
      </c>
      <c r="C1411" s="243" t="s">
        <v>20</v>
      </c>
      <c r="D1411" s="243" t="s">
        <v>49</v>
      </c>
      <c r="E1411" s="243" t="s">
        <v>27</v>
      </c>
      <c r="F1411" s="243" t="s">
        <v>44</v>
      </c>
      <c r="G1411" s="243" t="s">
        <v>148</v>
      </c>
      <c r="H1411" s="227" t="s">
        <v>311</v>
      </c>
      <c r="I1411" s="237" t="s">
        <v>95</v>
      </c>
      <c r="J1411" s="244"/>
      <c r="K1411" s="244"/>
      <c r="L1411" s="244"/>
      <c r="M1411" s="244"/>
      <c r="N1411" s="244"/>
      <c r="O1411" s="244"/>
      <c r="P1411" s="244">
        <v>300000</v>
      </c>
      <c r="Q1411" s="244">
        <f t="shared" ref="Q1411:R1411" si="1289">K1411+N1411</f>
        <v>0</v>
      </c>
      <c r="R1411" s="244">
        <f t="shared" si="1289"/>
        <v>0</v>
      </c>
      <c r="S1411" s="244"/>
      <c r="T1411" s="244"/>
      <c r="U1411" s="244"/>
      <c r="V1411" s="244">
        <f t="shared" si="1282"/>
        <v>300000</v>
      </c>
      <c r="W1411" s="244">
        <f t="shared" si="1282"/>
        <v>0</v>
      </c>
      <c r="X1411" s="244">
        <f t="shared" si="1282"/>
        <v>0</v>
      </c>
    </row>
    <row r="1412" spans="1:24" s="229" customFormat="1" ht="15.75" hidden="1">
      <c r="A1412" s="249" t="s">
        <v>54</v>
      </c>
      <c r="B1412" s="226" t="s">
        <v>402</v>
      </c>
      <c r="C1412" s="226" t="s">
        <v>17</v>
      </c>
      <c r="D1412" s="227"/>
      <c r="E1412" s="227"/>
      <c r="F1412" s="227"/>
      <c r="G1412" s="227"/>
      <c r="H1412" s="227"/>
      <c r="I1412" s="237"/>
      <c r="J1412" s="228"/>
      <c r="K1412" s="228"/>
      <c r="L1412" s="228"/>
      <c r="M1412" s="228"/>
      <c r="N1412" s="228"/>
      <c r="O1412" s="228"/>
      <c r="P1412" s="228">
        <f>P1413</f>
        <v>63322.720000000001</v>
      </c>
      <c r="Q1412" s="228">
        <f t="shared" ref="Q1412:U1414" si="1290">Q1413</f>
        <v>0</v>
      </c>
      <c r="R1412" s="228">
        <f t="shared" si="1290"/>
        <v>0</v>
      </c>
      <c r="S1412" s="228">
        <f t="shared" si="1290"/>
        <v>0</v>
      </c>
      <c r="T1412" s="228">
        <f t="shared" si="1290"/>
        <v>0</v>
      </c>
      <c r="U1412" s="228">
        <f t="shared" si="1290"/>
        <v>0</v>
      </c>
      <c r="V1412" s="228">
        <f t="shared" ref="V1412:X1427" si="1291">P1412+S1412</f>
        <v>63322.720000000001</v>
      </c>
      <c r="W1412" s="228">
        <f t="shared" si="1291"/>
        <v>0</v>
      </c>
      <c r="X1412" s="228">
        <f t="shared" si="1291"/>
        <v>0</v>
      </c>
    </row>
    <row r="1413" spans="1:24" s="229" customFormat="1" hidden="1">
      <c r="A1413" s="250" t="s">
        <v>55</v>
      </c>
      <c r="B1413" s="232" t="s">
        <v>402</v>
      </c>
      <c r="C1413" s="232" t="s">
        <v>17</v>
      </c>
      <c r="D1413" s="232" t="s">
        <v>13</v>
      </c>
      <c r="E1413" s="232"/>
      <c r="F1413" s="232"/>
      <c r="G1413" s="232"/>
      <c r="H1413" s="232"/>
      <c r="I1413" s="233"/>
      <c r="J1413" s="234"/>
      <c r="K1413" s="234"/>
      <c r="L1413" s="234"/>
      <c r="M1413" s="234"/>
      <c r="N1413" s="234"/>
      <c r="O1413" s="234"/>
      <c r="P1413" s="234">
        <f>P1414</f>
        <v>63322.720000000001</v>
      </c>
      <c r="Q1413" s="234">
        <f t="shared" si="1290"/>
        <v>0</v>
      </c>
      <c r="R1413" s="234">
        <f t="shared" si="1290"/>
        <v>0</v>
      </c>
      <c r="S1413" s="234">
        <f t="shared" si="1290"/>
        <v>0</v>
      </c>
      <c r="T1413" s="234">
        <f t="shared" si="1290"/>
        <v>0</v>
      </c>
      <c r="U1413" s="234">
        <f t="shared" si="1290"/>
        <v>0</v>
      </c>
      <c r="V1413" s="234">
        <f t="shared" si="1291"/>
        <v>63322.720000000001</v>
      </c>
      <c r="W1413" s="234">
        <f t="shared" si="1291"/>
        <v>0</v>
      </c>
      <c r="X1413" s="234">
        <f t="shared" si="1291"/>
        <v>0</v>
      </c>
    </row>
    <row r="1414" spans="1:24" s="229" customFormat="1" hidden="1">
      <c r="A1414" s="235" t="s">
        <v>83</v>
      </c>
      <c r="B1414" s="247" t="s">
        <v>402</v>
      </c>
      <c r="C1414" s="227" t="s">
        <v>17</v>
      </c>
      <c r="D1414" s="227" t="s">
        <v>13</v>
      </c>
      <c r="E1414" s="227" t="s">
        <v>82</v>
      </c>
      <c r="F1414" s="227" t="s">
        <v>70</v>
      </c>
      <c r="G1414" s="227" t="s">
        <v>148</v>
      </c>
      <c r="H1414" s="227" t="s">
        <v>149</v>
      </c>
      <c r="I1414" s="237"/>
      <c r="J1414" s="244"/>
      <c r="K1414" s="244"/>
      <c r="L1414" s="244"/>
      <c r="M1414" s="244"/>
      <c r="N1414" s="244"/>
      <c r="O1414" s="244"/>
      <c r="P1414" s="244">
        <f>P1415</f>
        <v>63322.720000000001</v>
      </c>
      <c r="Q1414" s="244">
        <f t="shared" si="1290"/>
        <v>0</v>
      </c>
      <c r="R1414" s="244">
        <f t="shared" si="1290"/>
        <v>0</v>
      </c>
      <c r="S1414" s="244">
        <f t="shared" si="1290"/>
        <v>0</v>
      </c>
      <c r="T1414" s="244">
        <f t="shared" si="1290"/>
        <v>0</v>
      </c>
      <c r="U1414" s="244">
        <f t="shared" si="1290"/>
        <v>0</v>
      </c>
      <c r="V1414" s="244">
        <f t="shared" si="1291"/>
        <v>63322.720000000001</v>
      </c>
      <c r="W1414" s="244">
        <f t="shared" si="1291"/>
        <v>0</v>
      </c>
      <c r="X1414" s="244">
        <f t="shared" si="1291"/>
        <v>0</v>
      </c>
    </row>
    <row r="1415" spans="1:24" s="229" customFormat="1" ht="25.5" hidden="1">
      <c r="A1415" s="235" t="s">
        <v>304</v>
      </c>
      <c r="B1415" s="247" t="s">
        <v>402</v>
      </c>
      <c r="C1415" s="227" t="s">
        <v>17</v>
      </c>
      <c r="D1415" s="227" t="s">
        <v>13</v>
      </c>
      <c r="E1415" s="227" t="s">
        <v>82</v>
      </c>
      <c r="F1415" s="227" t="s">
        <v>70</v>
      </c>
      <c r="G1415" s="227" t="s">
        <v>148</v>
      </c>
      <c r="H1415" s="227" t="s">
        <v>305</v>
      </c>
      <c r="I1415" s="237"/>
      <c r="J1415" s="244"/>
      <c r="K1415" s="244"/>
      <c r="L1415" s="244"/>
      <c r="M1415" s="244"/>
      <c r="N1415" s="244"/>
      <c r="O1415" s="244"/>
      <c r="P1415" s="244">
        <f>P1416+P1418</f>
        <v>63322.720000000001</v>
      </c>
      <c r="Q1415" s="244">
        <f t="shared" ref="Q1415:U1415" si="1292">Q1416+Q1418</f>
        <v>0</v>
      </c>
      <c r="R1415" s="244">
        <f t="shared" si="1292"/>
        <v>0</v>
      </c>
      <c r="S1415" s="244">
        <f t="shared" si="1292"/>
        <v>0</v>
      </c>
      <c r="T1415" s="244">
        <f t="shared" si="1292"/>
        <v>0</v>
      </c>
      <c r="U1415" s="244">
        <f t="shared" si="1292"/>
        <v>0</v>
      </c>
      <c r="V1415" s="244">
        <f t="shared" si="1291"/>
        <v>63322.720000000001</v>
      </c>
      <c r="W1415" s="244">
        <f t="shared" si="1291"/>
        <v>0</v>
      </c>
      <c r="X1415" s="244">
        <f t="shared" si="1291"/>
        <v>0</v>
      </c>
    </row>
    <row r="1416" spans="1:24" s="229" customFormat="1" ht="38.25" hidden="1">
      <c r="A1416" s="239" t="s">
        <v>96</v>
      </c>
      <c r="B1416" s="247" t="s">
        <v>402</v>
      </c>
      <c r="C1416" s="227" t="s">
        <v>17</v>
      </c>
      <c r="D1416" s="227" t="s">
        <v>13</v>
      </c>
      <c r="E1416" s="227" t="s">
        <v>82</v>
      </c>
      <c r="F1416" s="227" t="s">
        <v>70</v>
      </c>
      <c r="G1416" s="227" t="s">
        <v>148</v>
      </c>
      <c r="H1416" s="227" t="s">
        <v>305</v>
      </c>
      <c r="I1416" s="237" t="s">
        <v>92</v>
      </c>
      <c r="J1416" s="244"/>
      <c r="K1416" s="244"/>
      <c r="L1416" s="244"/>
      <c r="M1416" s="244"/>
      <c r="N1416" s="244"/>
      <c r="O1416" s="244"/>
      <c r="P1416" s="244">
        <f>P1417</f>
        <v>31248</v>
      </c>
      <c r="Q1416" s="244">
        <f t="shared" ref="Q1416:U1416" si="1293">Q1417</f>
        <v>0</v>
      </c>
      <c r="R1416" s="244">
        <f t="shared" si="1293"/>
        <v>0</v>
      </c>
      <c r="S1416" s="244">
        <f t="shared" si="1293"/>
        <v>0</v>
      </c>
      <c r="T1416" s="244">
        <f t="shared" si="1293"/>
        <v>0</v>
      </c>
      <c r="U1416" s="244">
        <f t="shared" si="1293"/>
        <v>0</v>
      </c>
      <c r="V1416" s="244">
        <f t="shared" si="1291"/>
        <v>31248</v>
      </c>
      <c r="W1416" s="244">
        <f t="shared" si="1291"/>
        <v>0</v>
      </c>
      <c r="X1416" s="244">
        <f t="shared" si="1291"/>
        <v>0</v>
      </c>
    </row>
    <row r="1417" spans="1:24" s="229" customFormat="1" hidden="1">
      <c r="A1417" s="239" t="s">
        <v>103</v>
      </c>
      <c r="B1417" s="247" t="s">
        <v>402</v>
      </c>
      <c r="C1417" s="227" t="s">
        <v>17</v>
      </c>
      <c r="D1417" s="227" t="s">
        <v>13</v>
      </c>
      <c r="E1417" s="227" t="s">
        <v>82</v>
      </c>
      <c r="F1417" s="227" t="s">
        <v>70</v>
      </c>
      <c r="G1417" s="227" t="s">
        <v>148</v>
      </c>
      <c r="H1417" s="227" t="s">
        <v>305</v>
      </c>
      <c r="I1417" s="237" t="s">
        <v>102</v>
      </c>
      <c r="J1417" s="244"/>
      <c r="K1417" s="244"/>
      <c r="L1417" s="244"/>
      <c r="M1417" s="244"/>
      <c r="N1417" s="244"/>
      <c r="O1417" s="244"/>
      <c r="P1417" s="244">
        <f>23808+7440</f>
        <v>31248</v>
      </c>
      <c r="Q1417" s="244"/>
      <c r="R1417" s="244"/>
      <c r="S1417" s="244"/>
      <c r="T1417" s="244"/>
      <c r="U1417" s="244"/>
      <c r="V1417" s="244">
        <f t="shared" si="1291"/>
        <v>31248</v>
      </c>
      <c r="W1417" s="244">
        <f t="shared" si="1291"/>
        <v>0</v>
      </c>
      <c r="X1417" s="244">
        <f t="shared" si="1291"/>
        <v>0</v>
      </c>
    </row>
    <row r="1418" spans="1:24" s="229" customFormat="1" ht="25.5" hidden="1">
      <c r="A1418" s="240" t="s">
        <v>260</v>
      </c>
      <c r="B1418" s="247" t="s">
        <v>402</v>
      </c>
      <c r="C1418" s="227" t="s">
        <v>17</v>
      </c>
      <c r="D1418" s="227" t="s">
        <v>13</v>
      </c>
      <c r="E1418" s="227" t="s">
        <v>82</v>
      </c>
      <c r="F1418" s="227" t="s">
        <v>70</v>
      </c>
      <c r="G1418" s="227" t="s">
        <v>148</v>
      </c>
      <c r="H1418" s="227" t="s">
        <v>305</v>
      </c>
      <c r="I1418" s="237" t="s">
        <v>94</v>
      </c>
      <c r="J1418" s="244"/>
      <c r="K1418" s="244"/>
      <c r="L1418" s="244"/>
      <c r="M1418" s="244"/>
      <c r="N1418" s="244"/>
      <c r="O1418" s="244"/>
      <c r="P1418" s="244">
        <f>P1419</f>
        <v>32074.720000000001</v>
      </c>
      <c r="Q1418" s="244">
        <f t="shared" ref="Q1418:U1418" si="1294">Q1419</f>
        <v>0</v>
      </c>
      <c r="R1418" s="244">
        <f t="shared" si="1294"/>
        <v>0</v>
      </c>
      <c r="S1418" s="244">
        <f t="shared" si="1294"/>
        <v>0</v>
      </c>
      <c r="T1418" s="244">
        <f t="shared" si="1294"/>
        <v>0</v>
      </c>
      <c r="U1418" s="244">
        <f t="shared" si="1294"/>
        <v>0</v>
      </c>
      <c r="V1418" s="244">
        <f t="shared" si="1291"/>
        <v>32074.720000000001</v>
      </c>
      <c r="W1418" s="244">
        <f t="shared" si="1291"/>
        <v>0</v>
      </c>
      <c r="X1418" s="244">
        <f t="shared" si="1291"/>
        <v>0</v>
      </c>
    </row>
    <row r="1419" spans="1:24" s="229" customFormat="1" ht="25.5" hidden="1">
      <c r="A1419" s="239" t="s">
        <v>98</v>
      </c>
      <c r="B1419" s="247" t="s">
        <v>402</v>
      </c>
      <c r="C1419" s="227" t="s">
        <v>17</v>
      </c>
      <c r="D1419" s="227" t="s">
        <v>13</v>
      </c>
      <c r="E1419" s="227" t="s">
        <v>82</v>
      </c>
      <c r="F1419" s="227" t="s">
        <v>70</v>
      </c>
      <c r="G1419" s="227" t="s">
        <v>148</v>
      </c>
      <c r="H1419" s="227" t="s">
        <v>305</v>
      </c>
      <c r="I1419" s="237" t="s">
        <v>95</v>
      </c>
      <c r="J1419" s="244"/>
      <c r="K1419" s="244"/>
      <c r="L1419" s="244"/>
      <c r="M1419" s="244"/>
      <c r="N1419" s="244"/>
      <c r="O1419" s="244"/>
      <c r="P1419" s="244">
        <v>32074.720000000001</v>
      </c>
      <c r="Q1419" s="244"/>
      <c r="R1419" s="244"/>
      <c r="S1419" s="244"/>
      <c r="T1419" s="244"/>
      <c r="U1419" s="244"/>
      <c r="V1419" s="244">
        <f t="shared" si="1291"/>
        <v>32074.720000000001</v>
      </c>
      <c r="W1419" s="244">
        <f t="shared" si="1291"/>
        <v>0</v>
      </c>
      <c r="X1419" s="244">
        <f t="shared" si="1291"/>
        <v>0</v>
      </c>
    </row>
    <row r="1420" spans="1:24" s="255" customFormat="1" ht="31.5" hidden="1">
      <c r="A1420" s="249" t="s">
        <v>26</v>
      </c>
      <c r="B1420" s="251" t="s">
        <v>402</v>
      </c>
      <c r="C1420" s="251" t="s">
        <v>13</v>
      </c>
      <c r="D1420" s="252"/>
      <c r="E1420" s="252"/>
      <c r="F1420" s="252"/>
      <c r="G1420" s="252"/>
      <c r="H1420" s="252"/>
      <c r="I1420" s="253"/>
      <c r="J1420" s="254"/>
      <c r="K1420" s="254"/>
      <c r="L1420" s="254"/>
      <c r="M1420" s="254"/>
      <c r="N1420" s="254"/>
      <c r="O1420" s="254"/>
      <c r="P1420" s="254">
        <f>P1421</f>
        <v>873533</v>
      </c>
      <c r="Q1420" s="254">
        <f t="shared" ref="Q1420:U1424" si="1295">Q1421</f>
        <v>155514.32</v>
      </c>
      <c r="R1420" s="254">
        <f t="shared" si="1295"/>
        <v>161734.89000000001</v>
      </c>
      <c r="S1420" s="254">
        <f t="shared" si="1295"/>
        <v>0</v>
      </c>
      <c r="T1420" s="254">
        <f t="shared" si="1295"/>
        <v>0</v>
      </c>
      <c r="U1420" s="254">
        <f t="shared" si="1295"/>
        <v>0</v>
      </c>
      <c r="V1420" s="254">
        <f t="shared" si="1291"/>
        <v>873533</v>
      </c>
      <c r="W1420" s="254">
        <f t="shared" si="1291"/>
        <v>155514.32</v>
      </c>
      <c r="X1420" s="254">
        <f t="shared" si="1291"/>
        <v>161734.89000000001</v>
      </c>
    </row>
    <row r="1421" spans="1:24" s="229" customFormat="1" ht="38.25" hidden="1">
      <c r="A1421" s="256" t="s">
        <v>230</v>
      </c>
      <c r="B1421" s="257" t="s">
        <v>402</v>
      </c>
      <c r="C1421" s="257" t="s">
        <v>13</v>
      </c>
      <c r="D1421" s="257" t="s">
        <v>30</v>
      </c>
      <c r="E1421" s="257"/>
      <c r="F1421" s="257"/>
      <c r="G1421" s="257"/>
      <c r="H1421" s="257"/>
      <c r="I1421" s="258"/>
      <c r="J1421" s="259"/>
      <c r="K1421" s="259"/>
      <c r="L1421" s="259"/>
      <c r="M1421" s="259"/>
      <c r="N1421" s="259"/>
      <c r="O1421" s="259"/>
      <c r="P1421" s="259">
        <f>P1422</f>
        <v>873533</v>
      </c>
      <c r="Q1421" s="259">
        <f t="shared" si="1295"/>
        <v>155514.32</v>
      </c>
      <c r="R1421" s="259">
        <f t="shared" si="1295"/>
        <v>161734.89000000001</v>
      </c>
      <c r="S1421" s="259">
        <f t="shared" si="1295"/>
        <v>0</v>
      </c>
      <c r="T1421" s="259">
        <f t="shared" si="1295"/>
        <v>0</v>
      </c>
      <c r="U1421" s="259">
        <f t="shared" si="1295"/>
        <v>0</v>
      </c>
      <c r="V1421" s="259">
        <f t="shared" si="1291"/>
        <v>873533</v>
      </c>
      <c r="W1421" s="259">
        <f t="shared" si="1291"/>
        <v>155514.32</v>
      </c>
      <c r="X1421" s="259">
        <f t="shared" si="1291"/>
        <v>161734.89000000001</v>
      </c>
    </row>
    <row r="1422" spans="1:24" s="229" customFormat="1" hidden="1">
      <c r="A1422" s="260" t="s">
        <v>290</v>
      </c>
      <c r="B1422" s="261" t="s">
        <v>402</v>
      </c>
      <c r="C1422" s="261" t="s">
        <v>13</v>
      </c>
      <c r="D1422" s="261" t="s">
        <v>30</v>
      </c>
      <c r="E1422" s="261" t="s">
        <v>214</v>
      </c>
      <c r="F1422" s="261" t="s">
        <v>70</v>
      </c>
      <c r="G1422" s="261" t="s">
        <v>148</v>
      </c>
      <c r="H1422" s="261" t="s">
        <v>149</v>
      </c>
      <c r="I1422" s="262"/>
      <c r="J1422" s="263"/>
      <c r="K1422" s="263"/>
      <c r="L1422" s="263"/>
      <c r="M1422" s="263"/>
      <c r="N1422" s="263"/>
      <c r="O1422" s="263"/>
      <c r="P1422" s="263">
        <f>P1423+P1426</f>
        <v>873533</v>
      </c>
      <c r="Q1422" s="263">
        <f t="shared" ref="Q1422:U1422" si="1296">Q1423+Q1426</f>
        <v>155514.32</v>
      </c>
      <c r="R1422" s="263">
        <f t="shared" si="1296"/>
        <v>161734.89000000001</v>
      </c>
      <c r="S1422" s="263">
        <f t="shared" si="1296"/>
        <v>0</v>
      </c>
      <c r="T1422" s="263">
        <f t="shared" si="1296"/>
        <v>0</v>
      </c>
      <c r="U1422" s="263">
        <f t="shared" si="1296"/>
        <v>0</v>
      </c>
      <c r="V1422" s="263">
        <f t="shared" si="1291"/>
        <v>873533</v>
      </c>
      <c r="W1422" s="263">
        <f t="shared" si="1291"/>
        <v>155514.32</v>
      </c>
      <c r="X1422" s="263">
        <f t="shared" si="1291"/>
        <v>161734.89000000001</v>
      </c>
    </row>
    <row r="1423" spans="1:24" s="229" customFormat="1" hidden="1">
      <c r="A1423" s="241" t="s">
        <v>336</v>
      </c>
      <c r="B1423" s="261" t="s">
        <v>402</v>
      </c>
      <c r="C1423" s="261" t="s">
        <v>13</v>
      </c>
      <c r="D1423" s="261" t="s">
        <v>30</v>
      </c>
      <c r="E1423" s="261" t="s">
        <v>214</v>
      </c>
      <c r="F1423" s="261" t="s">
        <v>70</v>
      </c>
      <c r="G1423" s="261" t="s">
        <v>148</v>
      </c>
      <c r="H1423" s="261" t="s">
        <v>335</v>
      </c>
      <c r="I1423" s="262"/>
      <c r="J1423" s="263"/>
      <c r="K1423" s="263"/>
      <c r="L1423" s="263"/>
      <c r="M1423" s="263"/>
      <c r="N1423" s="263"/>
      <c r="O1423" s="263"/>
      <c r="P1423" s="263">
        <f>P1424</f>
        <v>243533</v>
      </c>
      <c r="Q1423" s="263">
        <f t="shared" si="1295"/>
        <v>155514.32</v>
      </c>
      <c r="R1423" s="263">
        <f t="shared" si="1295"/>
        <v>161734.89000000001</v>
      </c>
      <c r="S1423" s="263">
        <f t="shared" si="1295"/>
        <v>0</v>
      </c>
      <c r="T1423" s="263">
        <f t="shared" si="1295"/>
        <v>0</v>
      </c>
      <c r="U1423" s="263">
        <f t="shared" si="1295"/>
        <v>0</v>
      </c>
      <c r="V1423" s="263">
        <f t="shared" si="1291"/>
        <v>243533</v>
      </c>
      <c r="W1423" s="263">
        <f t="shared" si="1291"/>
        <v>155514.32</v>
      </c>
      <c r="X1423" s="263">
        <f t="shared" si="1291"/>
        <v>161734.89000000001</v>
      </c>
    </row>
    <row r="1424" spans="1:24" s="229" customFormat="1" ht="25.5" hidden="1">
      <c r="A1424" s="240" t="s">
        <v>260</v>
      </c>
      <c r="B1424" s="261" t="s">
        <v>402</v>
      </c>
      <c r="C1424" s="261" t="s">
        <v>13</v>
      </c>
      <c r="D1424" s="261" t="s">
        <v>30</v>
      </c>
      <c r="E1424" s="261" t="s">
        <v>214</v>
      </c>
      <c r="F1424" s="261" t="s">
        <v>70</v>
      </c>
      <c r="G1424" s="261" t="s">
        <v>148</v>
      </c>
      <c r="H1424" s="261" t="s">
        <v>335</v>
      </c>
      <c r="I1424" s="262" t="s">
        <v>94</v>
      </c>
      <c r="J1424" s="263"/>
      <c r="K1424" s="263"/>
      <c r="L1424" s="263"/>
      <c r="M1424" s="263"/>
      <c r="N1424" s="263"/>
      <c r="O1424" s="263"/>
      <c r="P1424" s="263">
        <f>P1425</f>
        <v>243533</v>
      </c>
      <c r="Q1424" s="263">
        <f t="shared" si="1295"/>
        <v>155514.32</v>
      </c>
      <c r="R1424" s="263">
        <f t="shared" si="1295"/>
        <v>161734.89000000001</v>
      </c>
      <c r="S1424" s="263">
        <f t="shared" si="1295"/>
        <v>0</v>
      </c>
      <c r="T1424" s="263">
        <f t="shared" si="1295"/>
        <v>0</v>
      </c>
      <c r="U1424" s="263">
        <f t="shared" si="1295"/>
        <v>0</v>
      </c>
      <c r="V1424" s="263">
        <f t="shared" si="1291"/>
        <v>243533</v>
      </c>
      <c r="W1424" s="263">
        <f t="shared" si="1291"/>
        <v>155514.32</v>
      </c>
      <c r="X1424" s="263">
        <f t="shared" si="1291"/>
        <v>161734.89000000001</v>
      </c>
    </row>
    <row r="1425" spans="1:24" s="229" customFormat="1" ht="25.5" hidden="1">
      <c r="A1425" s="239" t="s">
        <v>98</v>
      </c>
      <c r="B1425" s="261" t="s">
        <v>402</v>
      </c>
      <c r="C1425" s="261" t="s">
        <v>13</v>
      </c>
      <c r="D1425" s="261" t="s">
        <v>30</v>
      </c>
      <c r="E1425" s="261" t="s">
        <v>214</v>
      </c>
      <c r="F1425" s="261" t="s">
        <v>70</v>
      </c>
      <c r="G1425" s="261" t="s">
        <v>148</v>
      </c>
      <c r="H1425" s="261" t="s">
        <v>335</v>
      </c>
      <c r="I1425" s="262" t="s">
        <v>95</v>
      </c>
      <c r="J1425" s="263"/>
      <c r="K1425" s="263"/>
      <c r="L1425" s="263"/>
      <c r="M1425" s="263"/>
      <c r="N1425" s="263"/>
      <c r="O1425" s="263"/>
      <c r="P1425" s="263">
        <f>94000+149533</f>
        <v>243533</v>
      </c>
      <c r="Q1425" s="263">
        <v>155514.32</v>
      </c>
      <c r="R1425" s="263">
        <v>161734.89000000001</v>
      </c>
      <c r="S1425" s="263"/>
      <c r="T1425" s="263"/>
      <c r="U1425" s="263"/>
      <c r="V1425" s="263">
        <f t="shared" si="1291"/>
        <v>243533</v>
      </c>
      <c r="W1425" s="263">
        <f t="shared" si="1291"/>
        <v>155514.32</v>
      </c>
      <c r="X1425" s="263">
        <f t="shared" si="1291"/>
        <v>161734.89000000001</v>
      </c>
    </row>
    <row r="1426" spans="1:24" s="229" customFormat="1" ht="25.5" hidden="1">
      <c r="A1426" s="268" t="s">
        <v>312</v>
      </c>
      <c r="B1426" s="261" t="s">
        <v>402</v>
      </c>
      <c r="C1426" s="261" t="s">
        <v>13</v>
      </c>
      <c r="D1426" s="261" t="s">
        <v>30</v>
      </c>
      <c r="E1426" s="261" t="s">
        <v>214</v>
      </c>
      <c r="F1426" s="261" t="s">
        <v>70</v>
      </c>
      <c r="G1426" s="261" t="s">
        <v>148</v>
      </c>
      <c r="H1426" s="261" t="s">
        <v>311</v>
      </c>
      <c r="I1426" s="262"/>
      <c r="J1426" s="263"/>
      <c r="K1426" s="263"/>
      <c r="L1426" s="263"/>
      <c r="M1426" s="263"/>
      <c r="N1426" s="263"/>
      <c r="O1426" s="263"/>
      <c r="P1426" s="263">
        <f>P1427</f>
        <v>630000</v>
      </c>
      <c r="Q1426" s="263">
        <f t="shared" ref="Q1426:U1427" si="1297">Q1427</f>
        <v>0</v>
      </c>
      <c r="R1426" s="263">
        <f t="shared" si="1297"/>
        <v>0</v>
      </c>
      <c r="S1426" s="263">
        <f t="shared" si="1297"/>
        <v>0</v>
      </c>
      <c r="T1426" s="263">
        <f t="shared" si="1297"/>
        <v>0</v>
      </c>
      <c r="U1426" s="263">
        <f t="shared" si="1297"/>
        <v>0</v>
      </c>
      <c r="V1426" s="263">
        <f t="shared" si="1291"/>
        <v>630000</v>
      </c>
      <c r="W1426" s="263">
        <f t="shared" si="1291"/>
        <v>0</v>
      </c>
      <c r="X1426" s="263">
        <f t="shared" si="1291"/>
        <v>0</v>
      </c>
    </row>
    <row r="1427" spans="1:24" s="229" customFormat="1" ht="25.5" hidden="1">
      <c r="A1427" s="240" t="s">
        <v>260</v>
      </c>
      <c r="B1427" s="261" t="s">
        <v>402</v>
      </c>
      <c r="C1427" s="261" t="s">
        <v>13</v>
      </c>
      <c r="D1427" s="261" t="s">
        <v>30</v>
      </c>
      <c r="E1427" s="261" t="s">
        <v>214</v>
      </c>
      <c r="F1427" s="261" t="s">
        <v>70</v>
      </c>
      <c r="G1427" s="261" t="s">
        <v>148</v>
      </c>
      <c r="H1427" s="261" t="s">
        <v>311</v>
      </c>
      <c r="I1427" s="262" t="s">
        <v>94</v>
      </c>
      <c r="J1427" s="263"/>
      <c r="K1427" s="263"/>
      <c r="L1427" s="263"/>
      <c r="M1427" s="263"/>
      <c r="N1427" s="263"/>
      <c r="O1427" s="263"/>
      <c r="P1427" s="263">
        <f>P1428</f>
        <v>630000</v>
      </c>
      <c r="Q1427" s="263">
        <f t="shared" si="1297"/>
        <v>0</v>
      </c>
      <c r="R1427" s="263">
        <f t="shared" si="1297"/>
        <v>0</v>
      </c>
      <c r="S1427" s="263">
        <f t="shared" si="1297"/>
        <v>0</v>
      </c>
      <c r="T1427" s="263">
        <f t="shared" si="1297"/>
        <v>0</v>
      </c>
      <c r="U1427" s="263">
        <f t="shared" si="1297"/>
        <v>0</v>
      </c>
      <c r="V1427" s="263">
        <f t="shared" si="1291"/>
        <v>630000</v>
      </c>
      <c r="W1427" s="263">
        <f t="shared" si="1291"/>
        <v>0</v>
      </c>
      <c r="X1427" s="263">
        <f t="shared" si="1291"/>
        <v>0</v>
      </c>
    </row>
    <row r="1428" spans="1:24" s="229" customFormat="1" ht="25.5" hidden="1">
      <c r="A1428" s="239" t="s">
        <v>98</v>
      </c>
      <c r="B1428" s="261" t="s">
        <v>402</v>
      </c>
      <c r="C1428" s="261" t="s">
        <v>13</v>
      </c>
      <c r="D1428" s="261" t="s">
        <v>30</v>
      </c>
      <c r="E1428" s="261" t="s">
        <v>214</v>
      </c>
      <c r="F1428" s="261" t="s">
        <v>70</v>
      </c>
      <c r="G1428" s="261" t="s">
        <v>148</v>
      </c>
      <c r="H1428" s="261" t="s">
        <v>311</v>
      </c>
      <c r="I1428" s="262" t="s">
        <v>95</v>
      </c>
      <c r="J1428" s="263"/>
      <c r="K1428" s="263"/>
      <c r="L1428" s="263"/>
      <c r="M1428" s="263"/>
      <c r="N1428" s="263"/>
      <c r="O1428" s="263"/>
      <c r="P1428" s="263">
        <v>630000</v>
      </c>
      <c r="Q1428" s="263">
        <f t="shared" ref="Q1428:R1428" si="1298">K1428+N1428</f>
        <v>0</v>
      </c>
      <c r="R1428" s="263">
        <f t="shared" si="1298"/>
        <v>0</v>
      </c>
      <c r="S1428" s="263"/>
      <c r="T1428" s="263"/>
      <c r="U1428" s="263"/>
      <c r="V1428" s="263">
        <f t="shared" ref="V1428:X1443" si="1299">P1428+S1428</f>
        <v>630000</v>
      </c>
      <c r="W1428" s="263">
        <f t="shared" si="1299"/>
        <v>0</v>
      </c>
      <c r="X1428" s="263">
        <f t="shared" si="1299"/>
        <v>0</v>
      </c>
    </row>
    <row r="1429" spans="1:24" s="229" customFormat="1" ht="15.75" hidden="1">
      <c r="A1429" s="225" t="s">
        <v>15</v>
      </c>
      <c r="B1429" s="266" t="s">
        <v>402</v>
      </c>
      <c r="C1429" s="266" t="s">
        <v>16</v>
      </c>
      <c r="D1429" s="247"/>
      <c r="E1429" s="247"/>
      <c r="F1429" s="247"/>
      <c r="G1429" s="247"/>
      <c r="H1429" s="247"/>
      <c r="I1429" s="248"/>
      <c r="J1429" s="228"/>
      <c r="K1429" s="228"/>
      <c r="L1429" s="228"/>
      <c r="M1429" s="228"/>
      <c r="N1429" s="228"/>
      <c r="O1429" s="228"/>
      <c r="P1429" s="228">
        <f t="shared" ref="P1429:U1429" si="1300">P1430+P1435</f>
        <v>1301000</v>
      </c>
      <c r="Q1429" s="228">
        <f t="shared" si="1300"/>
        <v>0</v>
      </c>
      <c r="R1429" s="228">
        <f t="shared" si="1300"/>
        <v>0</v>
      </c>
      <c r="S1429" s="228">
        <f t="shared" si="1300"/>
        <v>0</v>
      </c>
      <c r="T1429" s="228">
        <f t="shared" si="1300"/>
        <v>0</v>
      </c>
      <c r="U1429" s="228">
        <f t="shared" si="1300"/>
        <v>0</v>
      </c>
      <c r="V1429" s="228">
        <f t="shared" si="1299"/>
        <v>1301000</v>
      </c>
      <c r="W1429" s="228">
        <f t="shared" si="1299"/>
        <v>0</v>
      </c>
      <c r="X1429" s="228">
        <f t="shared" si="1299"/>
        <v>0</v>
      </c>
    </row>
    <row r="1430" spans="1:24" s="229" customFormat="1" hidden="1">
      <c r="A1430" s="230" t="s">
        <v>23</v>
      </c>
      <c r="B1430" s="232" t="s">
        <v>402</v>
      </c>
      <c r="C1430" s="232" t="s">
        <v>16</v>
      </c>
      <c r="D1430" s="232" t="s">
        <v>27</v>
      </c>
      <c r="E1430" s="232"/>
      <c r="F1430" s="232"/>
      <c r="G1430" s="232"/>
      <c r="H1430" s="269"/>
      <c r="I1430" s="233"/>
      <c r="J1430" s="234"/>
      <c r="K1430" s="234"/>
      <c r="L1430" s="234"/>
      <c r="M1430" s="234"/>
      <c r="N1430" s="234"/>
      <c r="O1430" s="234"/>
      <c r="P1430" s="234">
        <f>P1431</f>
        <v>801000</v>
      </c>
      <c r="Q1430" s="234">
        <f t="shared" ref="Q1430:U1433" si="1301">Q1431</f>
        <v>0</v>
      </c>
      <c r="R1430" s="234">
        <f t="shared" si="1301"/>
        <v>0</v>
      </c>
      <c r="S1430" s="234">
        <f t="shared" si="1301"/>
        <v>0</v>
      </c>
      <c r="T1430" s="234">
        <f t="shared" si="1301"/>
        <v>0</v>
      </c>
      <c r="U1430" s="234">
        <f t="shared" si="1301"/>
        <v>0</v>
      </c>
      <c r="V1430" s="234">
        <f t="shared" si="1299"/>
        <v>801000</v>
      </c>
      <c r="W1430" s="234">
        <f t="shared" si="1299"/>
        <v>0</v>
      </c>
      <c r="X1430" s="234">
        <f t="shared" si="1299"/>
        <v>0</v>
      </c>
    </row>
    <row r="1431" spans="1:24" s="229" customFormat="1" ht="38.25" hidden="1">
      <c r="A1431" s="235" t="s">
        <v>396</v>
      </c>
      <c r="B1431" s="227" t="s">
        <v>402</v>
      </c>
      <c r="C1431" s="227" t="s">
        <v>16</v>
      </c>
      <c r="D1431" s="227" t="s">
        <v>27</v>
      </c>
      <c r="E1431" s="227" t="s">
        <v>18</v>
      </c>
      <c r="F1431" s="227" t="s">
        <v>70</v>
      </c>
      <c r="G1431" s="227" t="s">
        <v>148</v>
      </c>
      <c r="H1431" s="267" t="s">
        <v>149</v>
      </c>
      <c r="I1431" s="237"/>
      <c r="J1431" s="238"/>
      <c r="K1431" s="238"/>
      <c r="L1431" s="238"/>
      <c r="M1431" s="238"/>
      <c r="N1431" s="238"/>
      <c r="O1431" s="238"/>
      <c r="P1431" s="238">
        <f>P1432</f>
        <v>801000</v>
      </c>
      <c r="Q1431" s="238">
        <f t="shared" si="1301"/>
        <v>0</v>
      </c>
      <c r="R1431" s="238">
        <f t="shared" si="1301"/>
        <v>0</v>
      </c>
      <c r="S1431" s="238">
        <f t="shared" si="1301"/>
        <v>0</v>
      </c>
      <c r="T1431" s="238">
        <f t="shared" si="1301"/>
        <v>0</v>
      </c>
      <c r="U1431" s="238">
        <f t="shared" si="1301"/>
        <v>0</v>
      </c>
      <c r="V1431" s="238">
        <f t="shared" si="1299"/>
        <v>801000</v>
      </c>
      <c r="W1431" s="238">
        <f t="shared" si="1299"/>
        <v>0</v>
      </c>
      <c r="X1431" s="238">
        <f t="shared" si="1299"/>
        <v>0</v>
      </c>
    </row>
    <row r="1432" spans="1:24" s="229" customFormat="1" ht="25.5" hidden="1">
      <c r="A1432" s="268" t="s">
        <v>312</v>
      </c>
      <c r="B1432" s="227" t="s">
        <v>402</v>
      </c>
      <c r="C1432" s="227" t="s">
        <v>16</v>
      </c>
      <c r="D1432" s="227" t="s">
        <v>27</v>
      </c>
      <c r="E1432" s="227" t="s">
        <v>18</v>
      </c>
      <c r="F1432" s="227" t="s">
        <v>70</v>
      </c>
      <c r="G1432" s="227" t="s">
        <v>148</v>
      </c>
      <c r="H1432" s="267" t="s">
        <v>311</v>
      </c>
      <c r="I1432" s="272"/>
      <c r="J1432" s="238"/>
      <c r="K1432" s="238"/>
      <c r="L1432" s="238"/>
      <c r="M1432" s="238"/>
      <c r="N1432" s="238"/>
      <c r="O1432" s="238"/>
      <c r="P1432" s="238">
        <f>P1433</f>
        <v>801000</v>
      </c>
      <c r="Q1432" s="238">
        <f t="shared" si="1301"/>
        <v>0</v>
      </c>
      <c r="R1432" s="238">
        <f t="shared" si="1301"/>
        <v>0</v>
      </c>
      <c r="S1432" s="238">
        <f t="shared" si="1301"/>
        <v>0</v>
      </c>
      <c r="T1432" s="238">
        <f t="shared" si="1301"/>
        <v>0</v>
      </c>
      <c r="U1432" s="238">
        <f t="shared" si="1301"/>
        <v>0</v>
      </c>
      <c r="V1432" s="238">
        <f t="shared" si="1299"/>
        <v>801000</v>
      </c>
      <c r="W1432" s="238">
        <f t="shared" si="1299"/>
        <v>0</v>
      </c>
      <c r="X1432" s="238">
        <f t="shared" si="1299"/>
        <v>0</v>
      </c>
    </row>
    <row r="1433" spans="1:24" s="229" customFormat="1" ht="25.5" hidden="1">
      <c r="A1433" s="240" t="s">
        <v>260</v>
      </c>
      <c r="B1433" s="227" t="s">
        <v>402</v>
      </c>
      <c r="C1433" s="227" t="s">
        <v>16</v>
      </c>
      <c r="D1433" s="227" t="s">
        <v>27</v>
      </c>
      <c r="E1433" s="227" t="s">
        <v>18</v>
      </c>
      <c r="F1433" s="227" t="s">
        <v>70</v>
      </c>
      <c r="G1433" s="227" t="s">
        <v>148</v>
      </c>
      <c r="H1433" s="267" t="s">
        <v>311</v>
      </c>
      <c r="I1433" s="272" t="s">
        <v>94</v>
      </c>
      <c r="J1433" s="238"/>
      <c r="K1433" s="238"/>
      <c r="L1433" s="238"/>
      <c r="M1433" s="238"/>
      <c r="N1433" s="238"/>
      <c r="O1433" s="238"/>
      <c r="P1433" s="238">
        <f>P1434</f>
        <v>801000</v>
      </c>
      <c r="Q1433" s="238">
        <f t="shared" si="1301"/>
        <v>0</v>
      </c>
      <c r="R1433" s="238">
        <f t="shared" si="1301"/>
        <v>0</v>
      </c>
      <c r="S1433" s="238">
        <f t="shared" si="1301"/>
        <v>0</v>
      </c>
      <c r="T1433" s="238">
        <f t="shared" si="1301"/>
        <v>0</v>
      </c>
      <c r="U1433" s="238">
        <f t="shared" si="1301"/>
        <v>0</v>
      </c>
      <c r="V1433" s="238">
        <f t="shared" si="1299"/>
        <v>801000</v>
      </c>
      <c r="W1433" s="238">
        <f t="shared" si="1299"/>
        <v>0</v>
      </c>
      <c r="X1433" s="238">
        <f t="shared" si="1299"/>
        <v>0</v>
      </c>
    </row>
    <row r="1434" spans="1:24" s="229" customFormat="1" ht="25.5" hidden="1">
      <c r="A1434" s="239" t="s">
        <v>98</v>
      </c>
      <c r="B1434" s="227" t="s">
        <v>402</v>
      </c>
      <c r="C1434" s="227" t="s">
        <v>16</v>
      </c>
      <c r="D1434" s="227" t="s">
        <v>27</v>
      </c>
      <c r="E1434" s="227" t="s">
        <v>18</v>
      </c>
      <c r="F1434" s="227" t="s">
        <v>70</v>
      </c>
      <c r="G1434" s="227" t="s">
        <v>148</v>
      </c>
      <c r="H1434" s="267" t="s">
        <v>311</v>
      </c>
      <c r="I1434" s="272" t="s">
        <v>95</v>
      </c>
      <c r="J1434" s="238"/>
      <c r="K1434" s="238"/>
      <c r="L1434" s="238"/>
      <c r="M1434" s="238"/>
      <c r="N1434" s="238"/>
      <c r="O1434" s="238"/>
      <c r="P1434" s="238">
        <v>801000</v>
      </c>
      <c r="Q1434" s="238">
        <f t="shared" ref="Q1434:R1434" si="1302">K1434+N1434</f>
        <v>0</v>
      </c>
      <c r="R1434" s="238">
        <f t="shared" si="1302"/>
        <v>0</v>
      </c>
      <c r="S1434" s="238"/>
      <c r="T1434" s="238"/>
      <c r="U1434" s="238"/>
      <c r="V1434" s="238">
        <f t="shared" si="1299"/>
        <v>801000</v>
      </c>
      <c r="W1434" s="238">
        <f t="shared" si="1299"/>
        <v>0</v>
      </c>
      <c r="X1434" s="238">
        <f t="shared" si="1299"/>
        <v>0</v>
      </c>
    </row>
    <row r="1435" spans="1:24" s="229" customFormat="1" hidden="1">
      <c r="A1435" s="230" t="s">
        <v>60</v>
      </c>
      <c r="B1435" s="231" t="s">
        <v>402</v>
      </c>
      <c r="C1435" s="231" t="s">
        <v>16</v>
      </c>
      <c r="D1435" s="231" t="s">
        <v>14</v>
      </c>
      <c r="E1435" s="231"/>
      <c r="F1435" s="231"/>
      <c r="G1435" s="231"/>
      <c r="H1435" s="227"/>
      <c r="I1435" s="237"/>
      <c r="J1435" s="234"/>
      <c r="K1435" s="234"/>
      <c r="L1435" s="234"/>
      <c r="M1435" s="234"/>
      <c r="N1435" s="234"/>
      <c r="O1435" s="234"/>
      <c r="P1435" s="234">
        <f>P1436</f>
        <v>500000</v>
      </c>
      <c r="Q1435" s="234">
        <f t="shared" ref="Q1435:U1438" si="1303">Q1436</f>
        <v>0</v>
      </c>
      <c r="R1435" s="234">
        <f t="shared" si="1303"/>
        <v>0</v>
      </c>
      <c r="S1435" s="234">
        <f t="shared" si="1303"/>
        <v>0</v>
      </c>
      <c r="T1435" s="234">
        <f t="shared" si="1303"/>
        <v>0</v>
      </c>
      <c r="U1435" s="234">
        <f t="shared" si="1303"/>
        <v>0</v>
      </c>
      <c r="V1435" s="234">
        <f t="shared" si="1299"/>
        <v>500000</v>
      </c>
      <c r="W1435" s="234">
        <f t="shared" si="1299"/>
        <v>0</v>
      </c>
      <c r="X1435" s="234">
        <f t="shared" si="1299"/>
        <v>0</v>
      </c>
    </row>
    <row r="1436" spans="1:24" s="229" customFormat="1" hidden="1">
      <c r="A1436" s="235" t="s">
        <v>84</v>
      </c>
      <c r="B1436" s="227" t="s">
        <v>402</v>
      </c>
      <c r="C1436" s="227" t="s">
        <v>16</v>
      </c>
      <c r="D1436" s="227" t="s">
        <v>14</v>
      </c>
      <c r="E1436" s="227" t="s">
        <v>82</v>
      </c>
      <c r="F1436" s="227" t="s">
        <v>70</v>
      </c>
      <c r="G1436" s="227" t="s">
        <v>148</v>
      </c>
      <c r="H1436" s="227" t="s">
        <v>149</v>
      </c>
      <c r="I1436" s="237"/>
      <c r="J1436" s="238"/>
      <c r="K1436" s="238"/>
      <c r="L1436" s="238"/>
      <c r="M1436" s="238"/>
      <c r="N1436" s="238"/>
      <c r="O1436" s="238"/>
      <c r="P1436" s="238">
        <f>P1437</f>
        <v>500000</v>
      </c>
      <c r="Q1436" s="238">
        <f t="shared" si="1303"/>
        <v>0</v>
      </c>
      <c r="R1436" s="238">
        <f t="shared" si="1303"/>
        <v>0</v>
      </c>
      <c r="S1436" s="238">
        <f t="shared" si="1303"/>
        <v>0</v>
      </c>
      <c r="T1436" s="238">
        <f t="shared" si="1303"/>
        <v>0</v>
      </c>
      <c r="U1436" s="238">
        <f t="shared" si="1303"/>
        <v>0</v>
      </c>
      <c r="V1436" s="238">
        <f t="shared" si="1299"/>
        <v>500000</v>
      </c>
      <c r="W1436" s="238">
        <f t="shared" si="1299"/>
        <v>0</v>
      </c>
      <c r="X1436" s="238">
        <f t="shared" si="1299"/>
        <v>0</v>
      </c>
    </row>
    <row r="1437" spans="1:24" s="229" customFormat="1" ht="38.25" hidden="1">
      <c r="A1437" s="235" t="s">
        <v>350</v>
      </c>
      <c r="B1437" s="227" t="s">
        <v>402</v>
      </c>
      <c r="C1437" s="227" t="s">
        <v>16</v>
      </c>
      <c r="D1437" s="227" t="s">
        <v>14</v>
      </c>
      <c r="E1437" s="227" t="s">
        <v>82</v>
      </c>
      <c r="F1437" s="227" t="s">
        <v>70</v>
      </c>
      <c r="G1437" s="227" t="s">
        <v>148</v>
      </c>
      <c r="H1437" s="227" t="s">
        <v>179</v>
      </c>
      <c r="I1437" s="237"/>
      <c r="J1437" s="238"/>
      <c r="K1437" s="238"/>
      <c r="L1437" s="238"/>
      <c r="M1437" s="238"/>
      <c r="N1437" s="238"/>
      <c r="O1437" s="238"/>
      <c r="P1437" s="238">
        <f>P1438</f>
        <v>500000</v>
      </c>
      <c r="Q1437" s="238">
        <f t="shared" si="1303"/>
        <v>0</v>
      </c>
      <c r="R1437" s="238">
        <f t="shared" si="1303"/>
        <v>0</v>
      </c>
      <c r="S1437" s="238">
        <f t="shared" si="1303"/>
        <v>0</v>
      </c>
      <c r="T1437" s="238">
        <f t="shared" si="1303"/>
        <v>0</v>
      </c>
      <c r="U1437" s="238">
        <f t="shared" si="1303"/>
        <v>0</v>
      </c>
      <c r="V1437" s="238">
        <f t="shared" si="1299"/>
        <v>500000</v>
      </c>
      <c r="W1437" s="238">
        <f t="shared" si="1299"/>
        <v>0</v>
      </c>
      <c r="X1437" s="238">
        <f t="shared" si="1299"/>
        <v>0</v>
      </c>
    </row>
    <row r="1438" spans="1:24" s="229" customFormat="1" ht="25.5" hidden="1">
      <c r="A1438" s="240" t="s">
        <v>260</v>
      </c>
      <c r="B1438" s="227" t="s">
        <v>402</v>
      </c>
      <c r="C1438" s="227" t="s">
        <v>16</v>
      </c>
      <c r="D1438" s="227" t="s">
        <v>14</v>
      </c>
      <c r="E1438" s="227" t="s">
        <v>82</v>
      </c>
      <c r="F1438" s="227" t="s">
        <v>70</v>
      </c>
      <c r="G1438" s="227" t="s">
        <v>148</v>
      </c>
      <c r="H1438" s="227" t="s">
        <v>179</v>
      </c>
      <c r="I1438" s="237" t="s">
        <v>94</v>
      </c>
      <c r="J1438" s="238"/>
      <c r="K1438" s="238"/>
      <c r="L1438" s="238"/>
      <c r="M1438" s="238"/>
      <c r="N1438" s="238"/>
      <c r="O1438" s="238"/>
      <c r="P1438" s="238">
        <f>P1439</f>
        <v>500000</v>
      </c>
      <c r="Q1438" s="238">
        <f t="shared" si="1303"/>
        <v>0</v>
      </c>
      <c r="R1438" s="238">
        <f t="shared" si="1303"/>
        <v>0</v>
      </c>
      <c r="S1438" s="238">
        <f t="shared" si="1303"/>
        <v>0</v>
      </c>
      <c r="T1438" s="238">
        <f t="shared" si="1303"/>
        <v>0</v>
      </c>
      <c r="U1438" s="238">
        <f t="shared" si="1303"/>
        <v>0</v>
      </c>
      <c r="V1438" s="238">
        <f t="shared" si="1299"/>
        <v>500000</v>
      </c>
      <c r="W1438" s="238">
        <f t="shared" si="1299"/>
        <v>0</v>
      </c>
      <c r="X1438" s="238">
        <f t="shared" si="1299"/>
        <v>0</v>
      </c>
    </row>
    <row r="1439" spans="1:24" s="229" customFormat="1" ht="25.5" hidden="1">
      <c r="A1439" s="239" t="s">
        <v>98</v>
      </c>
      <c r="B1439" s="227" t="s">
        <v>402</v>
      </c>
      <c r="C1439" s="227" t="s">
        <v>16</v>
      </c>
      <c r="D1439" s="227" t="s">
        <v>14</v>
      </c>
      <c r="E1439" s="227" t="s">
        <v>82</v>
      </c>
      <c r="F1439" s="227" t="s">
        <v>70</v>
      </c>
      <c r="G1439" s="227" t="s">
        <v>148</v>
      </c>
      <c r="H1439" s="227" t="s">
        <v>179</v>
      </c>
      <c r="I1439" s="237" t="s">
        <v>95</v>
      </c>
      <c r="J1439" s="238"/>
      <c r="K1439" s="238"/>
      <c r="L1439" s="238"/>
      <c r="M1439" s="238"/>
      <c r="N1439" s="238"/>
      <c r="O1439" s="238"/>
      <c r="P1439" s="238">
        <v>500000</v>
      </c>
      <c r="Q1439" s="238"/>
      <c r="R1439" s="238"/>
      <c r="S1439" s="238"/>
      <c r="T1439" s="238"/>
      <c r="U1439" s="238"/>
      <c r="V1439" s="238">
        <f t="shared" si="1299"/>
        <v>500000</v>
      </c>
      <c r="W1439" s="238">
        <f t="shared" si="1299"/>
        <v>0</v>
      </c>
      <c r="X1439" s="238">
        <f t="shared" si="1299"/>
        <v>0</v>
      </c>
    </row>
    <row r="1440" spans="1:24" s="229" customFormat="1" ht="15.75" hidden="1">
      <c r="A1440" s="273" t="s">
        <v>46</v>
      </c>
      <c r="B1440" s="274" t="s">
        <v>402</v>
      </c>
      <c r="C1440" s="274" t="s">
        <v>18</v>
      </c>
      <c r="D1440" s="274"/>
      <c r="E1440" s="274"/>
      <c r="F1440" s="274"/>
      <c r="G1440" s="274"/>
      <c r="H1440" s="274"/>
      <c r="I1440" s="275"/>
      <c r="J1440" s="228"/>
      <c r="K1440" s="228"/>
      <c r="L1440" s="228"/>
      <c r="M1440" s="228"/>
      <c r="N1440" s="228"/>
      <c r="O1440" s="228"/>
      <c r="P1440" s="228">
        <f>P1441</f>
        <v>967861</v>
      </c>
      <c r="Q1440" s="228">
        <f t="shared" ref="Q1440:U1440" si="1304">Q1441</f>
        <v>169580.91999999998</v>
      </c>
      <c r="R1440" s="228">
        <f t="shared" si="1304"/>
        <v>110258.64</v>
      </c>
      <c r="S1440" s="228">
        <f t="shared" si="1304"/>
        <v>0</v>
      </c>
      <c r="T1440" s="228">
        <f t="shared" si="1304"/>
        <v>0</v>
      </c>
      <c r="U1440" s="228">
        <f t="shared" si="1304"/>
        <v>0</v>
      </c>
      <c r="V1440" s="228">
        <f t="shared" si="1299"/>
        <v>967861</v>
      </c>
      <c r="W1440" s="228">
        <f t="shared" si="1299"/>
        <v>169580.91999999998</v>
      </c>
      <c r="X1440" s="228">
        <f t="shared" si="1299"/>
        <v>110258.64</v>
      </c>
    </row>
    <row r="1441" spans="1:24" s="255" customFormat="1" hidden="1">
      <c r="A1441" s="278" t="s">
        <v>68</v>
      </c>
      <c r="B1441" s="231" t="s">
        <v>402</v>
      </c>
      <c r="C1441" s="231" t="s">
        <v>18</v>
      </c>
      <c r="D1441" s="231" t="s">
        <v>13</v>
      </c>
      <c r="E1441" s="231"/>
      <c r="F1441" s="231"/>
      <c r="G1441" s="231"/>
      <c r="H1441" s="231"/>
      <c r="I1441" s="242"/>
      <c r="J1441" s="234"/>
      <c r="K1441" s="234"/>
      <c r="L1441" s="234"/>
      <c r="M1441" s="234"/>
      <c r="N1441" s="234"/>
      <c r="O1441" s="234"/>
      <c r="P1441" s="234">
        <f>P1442+P1446</f>
        <v>967861</v>
      </c>
      <c r="Q1441" s="234">
        <f t="shared" ref="Q1441:U1441" si="1305">Q1442+Q1446</f>
        <v>169580.91999999998</v>
      </c>
      <c r="R1441" s="234">
        <f t="shared" si="1305"/>
        <v>110258.64</v>
      </c>
      <c r="S1441" s="234">
        <f t="shared" si="1305"/>
        <v>0</v>
      </c>
      <c r="T1441" s="234">
        <f t="shared" si="1305"/>
        <v>0</v>
      </c>
      <c r="U1441" s="234">
        <f t="shared" si="1305"/>
        <v>0</v>
      </c>
      <c r="V1441" s="234">
        <f t="shared" si="1299"/>
        <v>967861</v>
      </c>
      <c r="W1441" s="234">
        <f t="shared" si="1299"/>
        <v>169580.91999999998</v>
      </c>
      <c r="X1441" s="234">
        <f t="shared" si="1299"/>
        <v>110258.64</v>
      </c>
    </row>
    <row r="1442" spans="1:24" s="229" customFormat="1" ht="38.25" hidden="1">
      <c r="A1442" s="298" t="s">
        <v>286</v>
      </c>
      <c r="B1442" s="227" t="s">
        <v>402</v>
      </c>
      <c r="C1442" s="227" t="s">
        <v>18</v>
      </c>
      <c r="D1442" s="227" t="s">
        <v>13</v>
      </c>
      <c r="E1442" s="227" t="s">
        <v>3</v>
      </c>
      <c r="F1442" s="227" t="s">
        <v>70</v>
      </c>
      <c r="G1442" s="227" t="s">
        <v>148</v>
      </c>
      <c r="H1442" s="227" t="s">
        <v>149</v>
      </c>
      <c r="I1442" s="237"/>
      <c r="J1442" s="238"/>
      <c r="K1442" s="238"/>
      <c r="L1442" s="238"/>
      <c r="M1442" s="238"/>
      <c r="N1442" s="238"/>
      <c r="O1442" s="238"/>
      <c r="P1442" s="238">
        <f>P1443</f>
        <v>800000</v>
      </c>
      <c r="Q1442" s="238">
        <f t="shared" ref="Q1442:U1444" si="1306">Q1443</f>
        <v>0</v>
      </c>
      <c r="R1442" s="238">
        <f t="shared" si="1306"/>
        <v>0</v>
      </c>
      <c r="S1442" s="238">
        <f t="shared" si="1306"/>
        <v>0</v>
      </c>
      <c r="T1442" s="238">
        <f t="shared" si="1306"/>
        <v>0</v>
      </c>
      <c r="U1442" s="238">
        <f t="shared" si="1306"/>
        <v>0</v>
      </c>
      <c r="V1442" s="238">
        <f t="shared" si="1299"/>
        <v>800000</v>
      </c>
      <c r="W1442" s="238">
        <f t="shared" si="1299"/>
        <v>0</v>
      </c>
      <c r="X1442" s="238">
        <f t="shared" si="1299"/>
        <v>0</v>
      </c>
    </row>
    <row r="1443" spans="1:24" s="229" customFormat="1" ht="25.5" hidden="1">
      <c r="A1443" s="268" t="s">
        <v>312</v>
      </c>
      <c r="B1443" s="227" t="s">
        <v>402</v>
      </c>
      <c r="C1443" s="227" t="s">
        <v>18</v>
      </c>
      <c r="D1443" s="227" t="s">
        <v>13</v>
      </c>
      <c r="E1443" s="227" t="s">
        <v>3</v>
      </c>
      <c r="F1443" s="227" t="s">
        <v>70</v>
      </c>
      <c r="G1443" s="227" t="s">
        <v>148</v>
      </c>
      <c r="H1443" s="227" t="s">
        <v>311</v>
      </c>
      <c r="I1443" s="237"/>
      <c r="J1443" s="238"/>
      <c r="K1443" s="238"/>
      <c r="L1443" s="238"/>
      <c r="M1443" s="238"/>
      <c r="N1443" s="238"/>
      <c r="O1443" s="238"/>
      <c r="P1443" s="238">
        <f>P1444</f>
        <v>800000</v>
      </c>
      <c r="Q1443" s="238">
        <f t="shared" si="1306"/>
        <v>0</v>
      </c>
      <c r="R1443" s="238">
        <f t="shared" si="1306"/>
        <v>0</v>
      </c>
      <c r="S1443" s="238">
        <f t="shared" si="1306"/>
        <v>0</v>
      </c>
      <c r="T1443" s="238">
        <f t="shared" si="1306"/>
        <v>0</v>
      </c>
      <c r="U1443" s="238">
        <f t="shared" si="1306"/>
        <v>0</v>
      </c>
      <c r="V1443" s="238">
        <f t="shared" si="1299"/>
        <v>800000</v>
      </c>
      <c r="W1443" s="238">
        <f t="shared" si="1299"/>
        <v>0</v>
      </c>
      <c r="X1443" s="238">
        <f t="shared" si="1299"/>
        <v>0</v>
      </c>
    </row>
    <row r="1444" spans="1:24" s="229" customFormat="1" ht="25.5" hidden="1">
      <c r="A1444" s="240" t="s">
        <v>260</v>
      </c>
      <c r="B1444" s="227" t="s">
        <v>402</v>
      </c>
      <c r="C1444" s="227" t="s">
        <v>18</v>
      </c>
      <c r="D1444" s="227" t="s">
        <v>13</v>
      </c>
      <c r="E1444" s="227" t="s">
        <v>3</v>
      </c>
      <c r="F1444" s="227" t="s">
        <v>70</v>
      </c>
      <c r="G1444" s="227" t="s">
        <v>148</v>
      </c>
      <c r="H1444" s="227" t="s">
        <v>311</v>
      </c>
      <c r="I1444" s="237" t="s">
        <v>94</v>
      </c>
      <c r="J1444" s="238"/>
      <c r="K1444" s="238"/>
      <c r="L1444" s="238"/>
      <c r="M1444" s="238"/>
      <c r="N1444" s="238"/>
      <c r="O1444" s="238"/>
      <c r="P1444" s="238">
        <f>P1445</f>
        <v>800000</v>
      </c>
      <c r="Q1444" s="238">
        <f t="shared" si="1306"/>
        <v>0</v>
      </c>
      <c r="R1444" s="238">
        <f t="shared" si="1306"/>
        <v>0</v>
      </c>
      <c r="S1444" s="238">
        <f t="shared" si="1306"/>
        <v>0</v>
      </c>
      <c r="T1444" s="238">
        <f t="shared" si="1306"/>
        <v>0</v>
      </c>
      <c r="U1444" s="238">
        <f t="shared" si="1306"/>
        <v>0</v>
      </c>
      <c r="V1444" s="238">
        <f t="shared" ref="V1444:X1452" si="1307">P1444+S1444</f>
        <v>800000</v>
      </c>
      <c r="W1444" s="238">
        <f t="shared" si="1307"/>
        <v>0</v>
      </c>
      <c r="X1444" s="238">
        <f t="shared" si="1307"/>
        <v>0</v>
      </c>
    </row>
    <row r="1445" spans="1:24" s="229" customFormat="1" ht="25.5" hidden="1">
      <c r="A1445" s="239" t="s">
        <v>98</v>
      </c>
      <c r="B1445" s="227" t="s">
        <v>402</v>
      </c>
      <c r="C1445" s="227" t="s">
        <v>18</v>
      </c>
      <c r="D1445" s="227" t="s">
        <v>13</v>
      </c>
      <c r="E1445" s="227" t="s">
        <v>3</v>
      </c>
      <c r="F1445" s="227" t="s">
        <v>70</v>
      </c>
      <c r="G1445" s="227" t="s">
        <v>148</v>
      </c>
      <c r="H1445" s="227" t="s">
        <v>311</v>
      </c>
      <c r="I1445" s="237" t="s">
        <v>95</v>
      </c>
      <c r="J1445" s="238"/>
      <c r="K1445" s="238"/>
      <c r="L1445" s="238"/>
      <c r="M1445" s="238"/>
      <c r="N1445" s="238"/>
      <c r="O1445" s="238"/>
      <c r="P1445" s="238">
        <v>800000</v>
      </c>
      <c r="Q1445" s="238">
        <f t="shared" ref="Q1445:R1445" si="1308">K1445+N1445</f>
        <v>0</v>
      </c>
      <c r="R1445" s="238">
        <f t="shared" si="1308"/>
        <v>0</v>
      </c>
      <c r="S1445" s="238"/>
      <c r="T1445" s="238"/>
      <c r="U1445" s="238"/>
      <c r="V1445" s="238">
        <f t="shared" si="1307"/>
        <v>800000</v>
      </c>
      <c r="W1445" s="238">
        <f t="shared" si="1307"/>
        <v>0</v>
      </c>
      <c r="X1445" s="238">
        <f t="shared" si="1307"/>
        <v>0</v>
      </c>
    </row>
    <row r="1446" spans="1:24" s="229" customFormat="1" hidden="1">
      <c r="A1446" s="235" t="s">
        <v>83</v>
      </c>
      <c r="B1446" s="227" t="s">
        <v>402</v>
      </c>
      <c r="C1446" s="227" t="s">
        <v>18</v>
      </c>
      <c r="D1446" s="227" t="s">
        <v>13</v>
      </c>
      <c r="E1446" s="227" t="s">
        <v>82</v>
      </c>
      <c r="F1446" s="227" t="s">
        <v>70</v>
      </c>
      <c r="G1446" s="227" t="s">
        <v>148</v>
      </c>
      <c r="H1446" s="227" t="s">
        <v>149</v>
      </c>
      <c r="I1446" s="237"/>
      <c r="J1446" s="238"/>
      <c r="K1446" s="238"/>
      <c r="L1446" s="238"/>
      <c r="M1446" s="238"/>
      <c r="N1446" s="238"/>
      <c r="O1446" s="238"/>
      <c r="P1446" s="238">
        <f>P1447+P1450</f>
        <v>167861</v>
      </c>
      <c r="Q1446" s="238">
        <f t="shared" ref="Q1446:U1446" si="1309">Q1447+Q1450</f>
        <v>169580.91999999998</v>
      </c>
      <c r="R1446" s="238">
        <f t="shared" si="1309"/>
        <v>110258.64</v>
      </c>
      <c r="S1446" s="238">
        <f t="shared" si="1309"/>
        <v>0</v>
      </c>
      <c r="T1446" s="238">
        <f t="shared" si="1309"/>
        <v>0</v>
      </c>
      <c r="U1446" s="238">
        <f t="shared" si="1309"/>
        <v>0</v>
      </c>
      <c r="V1446" s="238">
        <f t="shared" si="1307"/>
        <v>167861</v>
      </c>
      <c r="W1446" s="238">
        <f t="shared" si="1307"/>
        <v>169580.91999999998</v>
      </c>
      <c r="X1446" s="238">
        <f t="shared" si="1307"/>
        <v>110258.64</v>
      </c>
    </row>
    <row r="1447" spans="1:24" s="229" customFormat="1" ht="14.25" hidden="1">
      <c r="A1447" s="283" t="s">
        <v>362</v>
      </c>
      <c r="B1447" s="227" t="s">
        <v>402</v>
      </c>
      <c r="C1447" s="227" t="s">
        <v>18</v>
      </c>
      <c r="D1447" s="227" t="s">
        <v>13</v>
      </c>
      <c r="E1447" s="227" t="s">
        <v>82</v>
      </c>
      <c r="F1447" s="227" t="s">
        <v>70</v>
      </c>
      <c r="G1447" s="227" t="s">
        <v>148</v>
      </c>
      <c r="H1447" s="227" t="s">
        <v>361</v>
      </c>
      <c r="I1447" s="237"/>
      <c r="J1447" s="238"/>
      <c r="K1447" s="238"/>
      <c r="L1447" s="238"/>
      <c r="M1447" s="238"/>
      <c r="N1447" s="238"/>
      <c r="O1447" s="238"/>
      <c r="P1447" s="238">
        <f>P1448</f>
        <v>13029</v>
      </c>
      <c r="Q1447" s="238">
        <f t="shared" ref="Q1447:U1448" si="1310">Q1448</f>
        <v>13029</v>
      </c>
      <c r="R1447" s="238">
        <f t="shared" si="1310"/>
        <v>13029</v>
      </c>
      <c r="S1447" s="238">
        <f t="shared" si="1310"/>
        <v>0</v>
      </c>
      <c r="T1447" s="238">
        <f t="shared" si="1310"/>
        <v>0</v>
      </c>
      <c r="U1447" s="238">
        <f t="shared" si="1310"/>
        <v>0</v>
      </c>
      <c r="V1447" s="238">
        <f t="shared" si="1307"/>
        <v>13029</v>
      </c>
      <c r="W1447" s="238">
        <f t="shared" si="1307"/>
        <v>13029</v>
      </c>
      <c r="X1447" s="238">
        <f t="shared" si="1307"/>
        <v>13029</v>
      </c>
    </row>
    <row r="1448" spans="1:24" s="229" customFormat="1" ht="25.5" hidden="1">
      <c r="A1448" s="240" t="s">
        <v>260</v>
      </c>
      <c r="B1448" s="227" t="s">
        <v>402</v>
      </c>
      <c r="C1448" s="227" t="s">
        <v>18</v>
      </c>
      <c r="D1448" s="227" t="s">
        <v>13</v>
      </c>
      <c r="E1448" s="227" t="s">
        <v>82</v>
      </c>
      <c r="F1448" s="227" t="s">
        <v>70</v>
      </c>
      <c r="G1448" s="227" t="s">
        <v>148</v>
      </c>
      <c r="H1448" s="227" t="s">
        <v>361</v>
      </c>
      <c r="I1448" s="237" t="s">
        <v>94</v>
      </c>
      <c r="J1448" s="238"/>
      <c r="K1448" s="238"/>
      <c r="L1448" s="238"/>
      <c r="M1448" s="238"/>
      <c r="N1448" s="238"/>
      <c r="O1448" s="238"/>
      <c r="P1448" s="238">
        <f>P1449</f>
        <v>13029</v>
      </c>
      <c r="Q1448" s="238">
        <f t="shared" si="1310"/>
        <v>13029</v>
      </c>
      <c r="R1448" s="238">
        <f t="shared" si="1310"/>
        <v>13029</v>
      </c>
      <c r="S1448" s="238">
        <f t="shared" si="1310"/>
        <v>0</v>
      </c>
      <c r="T1448" s="238">
        <f t="shared" si="1310"/>
        <v>0</v>
      </c>
      <c r="U1448" s="238">
        <f t="shared" si="1310"/>
        <v>0</v>
      </c>
      <c r="V1448" s="238">
        <f t="shared" si="1307"/>
        <v>13029</v>
      </c>
      <c r="W1448" s="238">
        <f t="shared" si="1307"/>
        <v>13029</v>
      </c>
      <c r="X1448" s="238">
        <f t="shared" si="1307"/>
        <v>13029</v>
      </c>
    </row>
    <row r="1449" spans="1:24" s="229" customFormat="1" ht="25.5" hidden="1">
      <c r="A1449" s="239" t="s">
        <v>98</v>
      </c>
      <c r="B1449" s="227" t="s">
        <v>402</v>
      </c>
      <c r="C1449" s="227" t="s">
        <v>18</v>
      </c>
      <c r="D1449" s="227" t="s">
        <v>13</v>
      </c>
      <c r="E1449" s="227" t="s">
        <v>82</v>
      </c>
      <c r="F1449" s="227" t="s">
        <v>70</v>
      </c>
      <c r="G1449" s="227" t="s">
        <v>148</v>
      </c>
      <c r="H1449" s="227" t="s">
        <v>361</v>
      </c>
      <c r="I1449" s="237" t="s">
        <v>95</v>
      </c>
      <c r="J1449" s="238"/>
      <c r="K1449" s="238"/>
      <c r="L1449" s="238"/>
      <c r="M1449" s="238"/>
      <c r="N1449" s="238"/>
      <c r="O1449" s="238"/>
      <c r="P1449" s="238">
        <v>13029</v>
      </c>
      <c r="Q1449" s="238">
        <v>13029</v>
      </c>
      <c r="R1449" s="238">
        <v>13029</v>
      </c>
      <c r="S1449" s="238"/>
      <c r="T1449" s="238"/>
      <c r="U1449" s="238"/>
      <c r="V1449" s="238">
        <f t="shared" si="1307"/>
        <v>13029</v>
      </c>
      <c r="W1449" s="238">
        <f t="shared" si="1307"/>
        <v>13029</v>
      </c>
      <c r="X1449" s="238">
        <f t="shared" si="1307"/>
        <v>13029</v>
      </c>
    </row>
    <row r="1450" spans="1:24" s="229" customFormat="1" hidden="1">
      <c r="A1450" s="239" t="s">
        <v>367</v>
      </c>
      <c r="B1450" s="227" t="s">
        <v>402</v>
      </c>
      <c r="C1450" s="227" t="s">
        <v>18</v>
      </c>
      <c r="D1450" s="227" t="s">
        <v>13</v>
      </c>
      <c r="E1450" s="227" t="s">
        <v>82</v>
      </c>
      <c r="F1450" s="227" t="s">
        <v>70</v>
      </c>
      <c r="G1450" s="227" t="s">
        <v>148</v>
      </c>
      <c r="H1450" s="227" t="s">
        <v>360</v>
      </c>
      <c r="I1450" s="237"/>
      <c r="J1450" s="238"/>
      <c r="K1450" s="238"/>
      <c r="L1450" s="238"/>
      <c r="M1450" s="238"/>
      <c r="N1450" s="238"/>
      <c r="O1450" s="238"/>
      <c r="P1450" s="238">
        <f>P1451</f>
        <v>154832</v>
      </c>
      <c r="Q1450" s="238">
        <f t="shared" ref="Q1450:U1451" si="1311">Q1451</f>
        <v>156551.91999999998</v>
      </c>
      <c r="R1450" s="238">
        <f t="shared" si="1311"/>
        <v>97229.64</v>
      </c>
      <c r="S1450" s="238">
        <f t="shared" si="1311"/>
        <v>0</v>
      </c>
      <c r="T1450" s="238">
        <f t="shared" si="1311"/>
        <v>0</v>
      </c>
      <c r="U1450" s="238">
        <f t="shared" si="1311"/>
        <v>0</v>
      </c>
      <c r="V1450" s="238">
        <f t="shared" si="1307"/>
        <v>154832</v>
      </c>
      <c r="W1450" s="238">
        <f t="shared" si="1307"/>
        <v>156551.91999999998</v>
      </c>
      <c r="X1450" s="238">
        <f t="shared" si="1307"/>
        <v>97229.64</v>
      </c>
    </row>
    <row r="1451" spans="1:24" s="229" customFormat="1" ht="25.5" hidden="1">
      <c r="A1451" s="240" t="s">
        <v>260</v>
      </c>
      <c r="B1451" s="227" t="s">
        <v>402</v>
      </c>
      <c r="C1451" s="227" t="s">
        <v>18</v>
      </c>
      <c r="D1451" s="227" t="s">
        <v>13</v>
      </c>
      <c r="E1451" s="227" t="s">
        <v>82</v>
      </c>
      <c r="F1451" s="227" t="s">
        <v>70</v>
      </c>
      <c r="G1451" s="227" t="s">
        <v>148</v>
      </c>
      <c r="H1451" s="227" t="s">
        <v>360</v>
      </c>
      <c r="I1451" s="237" t="s">
        <v>94</v>
      </c>
      <c r="J1451" s="238"/>
      <c r="K1451" s="238"/>
      <c r="L1451" s="238"/>
      <c r="M1451" s="238"/>
      <c r="N1451" s="238"/>
      <c r="O1451" s="238"/>
      <c r="P1451" s="238">
        <f>P1452</f>
        <v>154832</v>
      </c>
      <c r="Q1451" s="238">
        <f t="shared" si="1311"/>
        <v>156551.91999999998</v>
      </c>
      <c r="R1451" s="238">
        <f t="shared" si="1311"/>
        <v>97229.64</v>
      </c>
      <c r="S1451" s="238">
        <f t="shared" si="1311"/>
        <v>0</v>
      </c>
      <c r="T1451" s="238">
        <f t="shared" si="1311"/>
        <v>0</v>
      </c>
      <c r="U1451" s="238">
        <f t="shared" si="1311"/>
        <v>0</v>
      </c>
      <c r="V1451" s="238">
        <f t="shared" si="1307"/>
        <v>154832</v>
      </c>
      <c r="W1451" s="238">
        <f t="shared" si="1307"/>
        <v>156551.91999999998</v>
      </c>
      <c r="X1451" s="238">
        <f t="shared" si="1307"/>
        <v>97229.64</v>
      </c>
    </row>
    <row r="1452" spans="1:24" s="229" customFormat="1" ht="25.5" hidden="1">
      <c r="A1452" s="239" t="s">
        <v>98</v>
      </c>
      <c r="B1452" s="227" t="s">
        <v>402</v>
      </c>
      <c r="C1452" s="227" t="s">
        <v>18</v>
      </c>
      <c r="D1452" s="227" t="s">
        <v>13</v>
      </c>
      <c r="E1452" s="227" t="s">
        <v>82</v>
      </c>
      <c r="F1452" s="227" t="s">
        <v>70</v>
      </c>
      <c r="G1452" s="227" t="s">
        <v>148</v>
      </c>
      <c r="H1452" s="227" t="s">
        <v>360</v>
      </c>
      <c r="I1452" s="237" t="s">
        <v>95</v>
      </c>
      <c r="J1452" s="238"/>
      <c r="K1452" s="238"/>
      <c r="L1452" s="238"/>
      <c r="M1452" s="238"/>
      <c r="N1452" s="238"/>
      <c r="O1452" s="238"/>
      <c r="P1452" s="238">
        <f>111834+42998</f>
        <v>154832</v>
      </c>
      <c r="Q1452" s="238">
        <f>111834+44717.92</f>
        <v>156551.91999999998</v>
      </c>
      <c r="R1452" s="238">
        <f>52511.72+44717.92</f>
        <v>97229.64</v>
      </c>
      <c r="S1452" s="238"/>
      <c r="T1452" s="238"/>
      <c r="U1452" s="238"/>
      <c r="V1452" s="238">
        <f t="shared" si="1307"/>
        <v>154832</v>
      </c>
      <c r="W1452" s="238">
        <f t="shared" si="1307"/>
        <v>156551.91999999998</v>
      </c>
      <c r="X1452" s="238">
        <f t="shared" si="1307"/>
        <v>97229.64</v>
      </c>
    </row>
    <row r="1453" spans="1:24" s="222" customFormat="1" ht="15.75" hidden="1">
      <c r="A1453" s="221" t="s">
        <v>465</v>
      </c>
      <c r="P1453" s="223">
        <f t="shared" ref="P1453:X1453" si="1312">P1454+P1464+P1472+P1478+P1489</f>
        <v>8073841.7199999997</v>
      </c>
      <c r="Q1453" s="223">
        <f t="shared" si="1312"/>
        <v>5354955.6499999994</v>
      </c>
      <c r="R1453" s="223">
        <f t="shared" si="1312"/>
        <v>5305923.6500000004</v>
      </c>
      <c r="S1453" s="223">
        <f t="shared" si="1312"/>
        <v>200000</v>
      </c>
      <c r="T1453" s="223">
        <f t="shared" si="1312"/>
        <v>0</v>
      </c>
      <c r="U1453" s="223">
        <f t="shared" si="1312"/>
        <v>0</v>
      </c>
      <c r="V1453" s="223">
        <f t="shared" si="1312"/>
        <v>8273841.7199999997</v>
      </c>
      <c r="W1453" s="223">
        <f t="shared" si="1312"/>
        <v>5354955.6499999994</v>
      </c>
      <c r="X1453" s="223">
        <f t="shared" si="1312"/>
        <v>5305923.6500000004</v>
      </c>
    </row>
    <row r="1454" spans="1:24" s="229" customFormat="1" ht="15.75" hidden="1">
      <c r="A1454" s="225" t="s">
        <v>32</v>
      </c>
      <c r="B1454" s="226" t="s">
        <v>402</v>
      </c>
      <c r="C1454" s="226" t="s">
        <v>20</v>
      </c>
      <c r="D1454" s="227"/>
      <c r="E1454" s="227"/>
      <c r="F1454" s="227"/>
      <c r="G1454" s="227"/>
      <c r="H1454" s="227"/>
      <c r="I1454" s="227"/>
      <c r="J1454" s="228"/>
      <c r="K1454" s="228"/>
      <c r="L1454" s="228"/>
      <c r="M1454" s="228"/>
      <c r="N1454" s="228"/>
      <c r="O1454" s="228"/>
      <c r="P1454" s="228">
        <f>P1455</f>
        <v>5096683</v>
      </c>
      <c r="Q1454" s="228">
        <f t="shared" ref="Q1454:U1456" si="1313">Q1455</f>
        <v>5172483.13</v>
      </c>
      <c r="R1454" s="228">
        <f t="shared" si="1313"/>
        <v>5182860.1500000004</v>
      </c>
      <c r="S1454" s="228">
        <f t="shared" si="1313"/>
        <v>0</v>
      </c>
      <c r="T1454" s="228">
        <f t="shared" si="1313"/>
        <v>0</v>
      </c>
      <c r="U1454" s="228">
        <f t="shared" si="1313"/>
        <v>0</v>
      </c>
      <c r="V1454" s="228">
        <f t="shared" ref="V1454:X1469" si="1314">P1454+S1454</f>
        <v>5096683</v>
      </c>
      <c r="W1454" s="228">
        <f t="shared" si="1314"/>
        <v>5172483.13</v>
      </c>
      <c r="X1454" s="228">
        <f t="shared" si="1314"/>
        <v>5182860.1500000004</v>
      </c>
    </row>
    <row r="1455" spans="1:24" s="229" customFormat="1" ht="38.25" hidden="1">
      <c r="A1455" s="230" t="s">
        <v>0</v>
      </c>
      <c r="B1455" s="231" t="s">
        <v>402</v>
      </c>
      <c r="C1455" s="231" t="s">
        <v>20</v>
      </c>
      <c r="D1455" s="231" t="s">
        <v>16</v>
      </c>
      <c r="E1455" s="231"/>
      <c r="F1455" s="231"/>
      <c r="G1455" s="231"/>
      <c r="H1455" s="227"/>
      <c r="I1455" s="237"/>
      <c r="J1455" s="234"/>
      <c r="K1455" s="234"/>
      <c r="L1455" s="234"/>
      <c r="M1455" s="234"/>
      <c r="N1455" s="234"/>
      <c r="O1455" s="234"/>
      <c r="P1455" s="234">
        <f>P1456</f>
        <v>5096683</v>
      </c>
      <c r="Q1455" s="234">
        <f t="shared" si="1313"/>
        <v>5172483.13</v>
      </c>
      <c r="R1455" s="234">
        <f t="shared" si="1313"/>
        <v>5182860.1500000004</v>
      </c>
      <c r="S1455" s="234">
        <f t="shared" si="1313"/>
        <v>0</v>
      </c>
      <c r="T1455" s="234">
        <f t="shared" si="1313"/>
        <v>0</v>
      </c>
      <c r="U1455" s="234">
        <f t="shared" si="1313"/>
        <v>0</v>
      </c>
      <c r="V1455" s="234">
        <f t="shared" si="1314"/>
        <v>5096683</v>
      </c>
      <c r="W1455" s="234">
        <f t="shared" si="1314"/>
        <v>5172483.13</v>
      </c>
      <c r="X1455" s="234">
        <f t="shared" si="1314"/>
        <v>5182860.1500000004</v>
      </c>
    </row>
    <row r="1456" spans="1:24" s="229" customFormat="1" hidden="1">
      <c r="A1456" s="235" t="s">
        <v>83</v>
      </c>
      <c r="B1456" s="227" t="s">
        <v>402</v>
      </c>
      <c r="C1456" s="227" t="s">
        <v>20</v>
      </c>
      <c r="D1456" s="227" t="s">
        <v>16</v>
      </c>
      <c r="E1456" s="227" t="s">
        <v>82</v>
      </c>
      <c r="F1456" s="227" t="s">
        <v>70</v>
      </c>
      <c r="G1456" s="227" t="s">
        <v>148</v>
      </c>
      <c r="H1456" s="227" t="s">
        <v>149</v>
      </c>
      <c r="I1456" s="237"/>
      <c r="J1456" s="238"/>
      <c r="K1456" s="238"/>
      <c r="L1456" s="238"/>
      <c r="M1456" s="238"/>
      <c r="N1456" s="238"/>
      <c r="O1456" s="238"/>
      <c r="P1456" s="238">
        <f>P1457</f>
        <v>5096683</v>
      </c>
      <c r="Q1456" s="238">
        <f t="shared" si="1313"/>
        <v>5172483.13</v>
      </c>
      <c r="R1456" s="238">
        <f t="shared" si="1313"/>
        <v>5182860.1500000004</v>
      </c>
      <c r="S1456" s="238">
        <f t="shared" si="1313"/>
        <v>0</v>
      </c>
      <c r="T1456" s="238">
        <f t="shared" si="1313"/>
        <v>0</v>
      </c>
      <c r="U1456" s="238">
        <f t="shared" si="1313"/>
        <v>0</v>
      </c>
      <c r="V1456" s="238">
        <f t="shared" si="1314"/>
        <v>5096683</v>
      </c>
      <c r="W1456" s="238">
        <f t="shared" si="1314"/>
        <v>5172483.13</v>
      </c>
      <c r="X1456" s="238">
        <f t="shared" si="1314"/>
        <v>5182860.1500000004</v>
      </c>
    </row>
    <row r="1457" spans="1:24" s="229" customFormat="1" ht="25.5" hidden="1">
      <c r="A1457" s="235" t="s">
        <v>87</v>
      </c>
      <c r="B1457" s="227" t="s">
        <v>402</v>
      </c>
      <c r="C1457" s="227" t="s">
        <v>20</v>
      </c>
      <c r="D1457" s="227" t="s">
        <v>16</v>
      </c>
      <c r="E1457" s="227" t="s">
        <v>82</v>
      </c>
      <c r="F1457" s="227" t="s">
        <v>70</v>
      </c>
      <c r="G1457" s="227" t="s">
        <v>148</v>
      </c>
      <c r="H1457" s="227" t="s">
        <v>158</v>
      </c>
      <c r="I1457" s="237"/>
      <c r="J1457" s="238"/>
      <c r="K1457" s="238"/>
      <c r="L1457" s="238"/>
      <c r="M1457" s="238"/>
      <c r="N1457" s="238"/>
      <c r="O1457" s="238"/>
      <c r="P1457" s="238">
        <f>P1458+P1460+P1462</f>
        <v>5096683</v>
      </c>
      <c r="Q1457" s="238">
        <f t="shared" ref="Q1457:U1457" si="1315">Q1458+Q1460+Q1462</f>
        <v>5172483.13</v>
      </c>
      <c r="R1457" s="238">
        <f t="shared" si="1315"/>
        <v>5182860.1500000004</v>
      </c>
      <c r="S1457" s="238">
        <f t="shared" si="1315"/>
        <v>0</v>
      </c>
      <c r="T1457" s="238">
        <f t="shared" si="1315"/>
        <v>0</v>
      </c>
      <c r="U1457" s="238">
        <f t="shared" si="1315"/>
        <v>0</v>
      </c>
      <c r="V1457" s="238">
        <f t="shared" si="1314"/>
        <v>5096683</v>
      </c>
      <c r="W1457" s="238">
        <f t="shared" si="1314"/>
        <v>5172483.13</v>
      </c>
      <c r="X1457" s="238">
        <f t="shared" si="1314"/>
        <v>5182860.1500000004</v>
      </c>
    </row>
    <row r="1458" spans="1:24" s="229" customFormat="1" ht="38.25" hidden="1">
      <c r="A1458" s="239" t="s">
        <v>96</v>
      </c>
      <c r="B1458" s="227" t="s">
        <v>402</v>
      </c>
      <c r="C1458" s="227" t="s">
        <v>20</v>
      </c>
      <c r="D1458" s="227" t="s">
        <v>16</v>
      </c>
      <c r="E1458" s="227" t="s">
        <v>82</v>
      </c>
      <c r="F1458" s="227" t="s">
        <v>70</v>
      </c>
      <c r="G1458" s="227" t="s">
        <v>148</v>
      </c>
      <c r="H1458" s="227" t="s">
        <v>158</v>
      </c>
      <c r="I1458" s="237" t="s">
        <v>92</v>
      </c>
      <c r="J1458" s="238"/>
      <c r="K1458" s="238"/>
      <c r="L1458" s="238"/>
      <c r="M1458" s="238"/>
      <c r="N1458" s="238"/>
      <c r="O1458" s="238"/>
      <c r="P1458" s="238">
        <f>P1459</f>
        <v>4079745</v>
      </c>
      <c r="Q1458" s="238">
        <f t="shared" ref="Q1458:U1458" si="1316">Q1459</f>
        <v>4119572.41</v>
      </c>
      <c r="R1458" s="238">
        <f t="shared" si="1316"/>
        <v>4119797.8</v>
      </c>
      <c r="S1458" s="238">
        <f t="shared" si="1316"/>
        <v>0</v>
      </c>
      <c r="T1458" s="238">
        <f t="shared" si="1316"/>
        <v>0</v>
      </c>
      <c r="U1458" s="238">
        <f t="shared" si="1316"/>
        <v>0</v>
      </c>
      <c r="V1458" s="238">
        <f t="shared" si="1314"/>
        <v>4079745</v>
      </c>
      <c r="W1458" s="238">
        <f t="shared" si="1314"/>
        <v>4119572.41</v>
      </c>
      <c r="X1458" s="238">
        <f t="shared" si="1314"/>
        <v>4119797.8</v>
      </c>
    </row>
    <row r="1459" spans="1:24" s="229" customFormat="1" hidden="1">
      <c r="A1459" s="239" t="s">
        <v>103</v>
      </c>
      <c r="B1459" s="227" t="s">
        <v>402</v>
      </c>
      <c r="C1459" s="227" t="s">
        <v>20</v>
      </c>
      <c r="D1459" s="227" t="s">
        <v>16</v>
      </c>
      <c r="E1459" s="227" t="s">
        <v>82</v>
      </c>
      <c r="F1459" s="227" t="s">
        <v>70</v>
      </c>
      <c r="G1459" s="227" t="s">
        <v>148</v>
      </c>
      <c r="H1459" s="227" t="s">
        <v>158</v>
      </c>
      <c r="I1459" s="237" t="s">
        <v>102</v>
      </c>
      <c r="J1459" s="238"/>
      <c r="K1459" s="238"/>
      <c r="L1459" s="238"/>
      <c r="M1459" s="238"/>
      <c r="N1459" s="238"/>
      <c r="O1459" s="238"/>
      <c r="P1459" s="238">
        <f>3058917.82+97034+923793.18</f>
        <v>4079745</v>
      </c>
      <c r="Q1459" s="238">
        <f>3089507.23+97034+933031.18</f>
        <v>4119572.41</v>
      </c>
      <c r="R1459" s="238">
        <f>3120402.3+57034+942361.5</f>
        <v>4119797.8</v>
      </c>
      <c r="S1459" s="238"/>
      <c r="T1459" s="238"/>
      <c r="U1459" s="238"/>
      <c r="V1459" s="238">
        <f t="shared" si="1314"/>
        <v>4079745</v>
      </c>
      <c r="W1459" s="238">
        <f t="shared" si="1314"/>
        <v>4119572.41</v>
      </c>
      <c r="X1459" s="238">
        <f t="shared" si="1314"/>
        <v>4119797.8</v>
      </c>
    </row>
    <row r="1460" spans="1:24" s="229" customFormat="1" ht="25.5" hidden="1">
      <c r="A1460" s="240" t="s">
        <v>260</v>
      </c>
      <c r="B1460" s="227" t="s">
        <v>402</v>
      </c>
      <c r="C1460" s="227" t="s">
        <v>20</v>
      </c>
      <c r="D1460" s="227" t="s">
        <v>16</v>
      </c>
      <c r="E1460" s="227" t="s">
        <v>82</v>
      </c>
      <c r="F1460" s="227" t="s">
        <v>70</v>
      </c>
      <c r="G1460" s="227" t="s">
        <v>148</v>
      </c>
      <c r="H1460" s="227" t="s">
        <v>158</v>
      </c>
      <c r="I1460" s="237" t="s">
        <v>94</v>
      </c>
      <c r="J1460" s="238"/>
      <c r="K1460" s="238"/>
      <c r="L1460" s="238"/>
      <c r="M1460" s="238"/>
      <c r="N1460" s="238"/>
      <c r="O1460" s="238"/>
      <c r="P1460" s="238">
        <f>P1461</f>
        <v>1011938</v>
      </c>
      <c r="Q1460" s="238">
        <f t="shared" ref="Q1460:U1460" si="1317">Q1461</f>
        <v>1047910.72</v>
      </c>
      <c r="R1460" s="238">
        <f t="shared" si="1317"/>
        <v>1058062.3500000001</v>
      </c>
      <c r="S1460" s="238">
        <f t="shared" si="1317"/>
        <v>0</v>
      </c>
      <c r="T1460" s="238">
        <f t="shared" si="1317"/>
        <v>0</v>
      </c>
      <c r="U1460" s="238">
        <f t="shared" si="1317"/>
        <v>0</v>
      </c>
      <c r="V1460" s="238">
        <f t="shared" si="1314"/>
        <v>1011938</v>
      </c>
      <c r="W1460" s="238">
        <f t="shared" si="1314"/>
        <v>1047910.72</v>
      </c>
      <c r="X1460" s="238">
        <f t="shared" si="1314"/>
        <v>1058062.3500000001</v>
      </c>
    </row>
    <row r="1461" spans="1:24" s="229" customFormat="1" ht="25.5" hidden="1">
      <c r="A1461" s="239" t="s">
        <v>98</v>
      </c>
      <c r="B1461" s="227" t="s">
        <v>402</v>
      </c>
      <c r="C1461" s="227" t="s">
        <v>20</v>
      </c>
      <c r="D1461" s="227" t="s">
        <v>16</v>
      </c>
      <c r="E1461" s="227" t="s">
        <v>82</v>
      </c>
      <c r="F1461" s="227" t="s">
        <v>70</v>
      </c>
      <c r="G1461" s="227" t="s">
        <v>148</v>
      </c>
      <c r="H1461" s="227" t="s">
        <v>158</v>
      </c>
      <c r="I1461" s="237" t="s">
        <v>95</v>
      </c>
      <c r="J1461" s="238"/>
      <c r="K1461" s="238"/>
      <c r="L1461" s="238"/>
      <c r="M1461" s="238"/>
      <c r="N1461" s="238"/>
      <c r="O1461" s="238"/>
      <c r="P1461" s="238">
        <f>128393+883545</f>
        <v>1011938</v>
      </c>
      <c r="Q1461" s="238">
        <f>112620+935290.72</f>
        <v>1047910.72</v>
      </c>
      <c r="R1461" s="238">
        <f>85360+972702.35</f>
        <v>1058062.3500000001</v>
      </c>
      <c r="S1461" s="238"/>
      <c r="T1461" s="238"/>
      <c r="U1461" s="238"/>
      <c r="V1461" s="238">
        <f t="shared" si="1314"/>
        <v>1011938</v>
      </c>
      <c r="W1461" s="238">
        <f t="shared" si="1314"/>
        <v>1047910.72</v>
      </c>
      <c r="X1461" s="238">
        <f t="shared" si="1314"/>
        <v>1058062.3500000001</v>
      </c>
    </row>
    <row r="1462" spans="1:24" s="229" customFormat="1" hidden="1">
      <c r="A1462" s="239" t="s">
        <v>80</v>
      </c>
      <c r="B1462" s="227" t="s">
        <v>402</v>
      </c>
      <c r="C1462" s="227" t="s">
        <v>20</v>
      </c>
      <c r="D1462" s="227" t="s">
        <v>16</v>
      </c>
      <c r="E1462" s="227" t="s">
        <v>82</v>
      </c>
      <c r="F1462" s="227" t="s">
        <v>70</v>
      </c>
      <c r="G1462" s="227" t="s">
        <v>148</v>
      </c>
      <c r="H1462" s="227" t="s">
        <v>158</v>
      </c>
      <c r="I1462" s="237" t="s">
        <v>77</v>
      </c>
      <c r="J1462" s="238"/>
      <c r="K1462" s="238"/>
      <c r="L1462" s="238"/>
      <c r="M1462" s="238"/>
      <c r="N1462" s="238"/>
      <c r="O1462" s="238"/>
      <c r="P1462" s="238">
        <f>P1463</f>
        <v>5000</v>
      </c>
      <c r="Q1462" s="238">
        <f t="shared" ref="Q1462:U1462" si="1318">Q1463</f>
        <v>5000</v>
      </c>
      <c r="R1462" s="238">
        <f t="shared" si="1318"/>
        <v>5000</v>
      </c>
      <c r="S1462" s="238">
        <f t="shared" si="1318"/>
        <v>0</v>
      </c>
      <c r="T1462" s="238">
        <f t="shared" si="1318"/>
        <v>0</v>
      </c>
      <c r="U1462" s="238">
        <f t="shared" si="1318"/>
        <v>0</v>
      </c>
      <c r="V1462" s="238">
        <f t="shared" si="1314"/>
        <v>5000</v>
      </c>
      <c r="W1462" s="238">
        <f t="shared" si="1314"/>
        <v>5000</v>
      </c>
      <c r="X1462" s="238">
        <f t="shared" si="1314"/>
        <v>5000</v>
      </c>
    </row>
    <row r="1463" spans="1:24" s="229" customFormat="1" hidden="1">
      <c r="A1463" s="241" t="s">
        <v>125</v>
      </c>
      <c r="B1463" s="227" t="s">
        <v>402</v>
      </c>
      <c r="C1463" s="227" t="s">
        <v>20</v>
      </c>
      <c r="D1463" s="227" t="s">
        <v>16</v>
      </c>
      <c r="E1463" s="227" t="s">
        <v>82</v>
      </c>
      <c r="F1463" s="227" t="s">
        <v>70</v>
      </c>
      <c r="G1463" s="227" t="s">
        <v>148</v>
      </c>
      <c r="H1463" s="227" t="s">
        <v>158</v>
      </c>
      <c r="I1463" s="237" t="s">
        <v>124</v>
      </c>
      <c r="J1463" s="238"/>
      <c r="K1463" s="238"/>
      <c r="L1463" s="238"/>
      <c r="M1463" s="238"/>
      <c r="N1463" s="238"/>
      <c r="O1463" s="238"/>
      <c r="P1463" s="238">
        <f>3000+2000</f>
        <v>5000</v>
      </c>
      <c r="Q1463" s="238">
        <v>5000</v>
      </c>
      <c r="R1463" s="238">
        <v>5000</v>
      </c>
      <c r="S1463" s="238"/>
      <c r="T1463" s="238"/>
      <c r="U1463" s="238"/>
      <c r="V1463" s="238">
        <f t="shared" si="1314"/>
        <v>5000</v>
      </c>
      <c r="W1463" s="238">
        <f t="shared" si="1314"/>
        <v>5000</v>
      </c>
      <c r="X1463" s="238">
        <f t="shared" si="1314"/>
        <v>5000</v>
      </c>
    </row>
    <row r="1464" spans="1:24" s="229" customFormat="1" ht="15.75" hidden="1">
      <c r="A1464" s="249" t="s">
        <v>54</v>
      </c>
      <c r="B1464" s="226" t="s">
        <v>402</v>
      </c>
      <c r="C1464" s="226" t="s">
        <v>17</v>
      </c>
      <c r="D1464" s="227"/>
      <c r="E1464" s="227"/>
      <c r="F1464" s="227"/>
      <c r="G1464" s="227"/>
      <c r="H1464" s="227"/>
      <c r="I1464" s="237"/>
      <c r="J1464" s="228"/>
      <c r="K1464" s="228"/>
      <c r="L1464" s="228"/>
      <c r="M1464" s="228"/>
      <c r="N1464" s="228"/>
      <c r="O1464" s="228"/>
      <c r="P1464" s="228">
        <f>P1465</f>
        <v>63322.720000000001</v>
      </c>
      <c r="Q1464" s="228">
        <f t="shared" ref="Q1464:U1466" si="1319">Q1465</f>
        <v>0</v>
      </c>
      <c r="R1464" s="228">
        <f t="shared" si="1319"/>
        <v>0</v>
      </c>
      <c r="S1464" s="228">
        <f t="shared" si="1319"/>
        <v>0</v>
      </c>
      <c r="T1464" s="228">
        <f t="shared" si="1319"/>
        <v>0</v>
      </c>
      <c r="U1464" s="228">
        <f t="shared" si="1319"/>
        <v>0</v>
      </c>
      <c r="V1464" s="228">
        <f t="shared" si="1314"/>
        <v>63322.720000000001</v>
      </c>
      <c r="W1464" s="228">
        <f t="shared" si="1314"/>
        <v>0</v>
      </c>
      <c r="X1464" s="228">
        <f t="shared" si="1314"/>
        <v>0</v>
      </c>
    </row>
    <row r="1465" spans="1:24" s="229" customFormat="1" hidden="1">
      <c r="A1465" s="250" t="s">
        <v>55</v>
      </c>
      <c r="B1465" s="232" t="s">
        <v>402</v>
      </c>
      <c r="C1465" s="232" t="s">
        <v>17</v>
      </c>
      <c r="D1465" s="232" t="s">
        <v>13</v>
      </c>
      <c r="E1465" s="232"/>
      <c r="F1465" s="232"/>
      <c r="G1465" s="232"/>
      <c r="H1465" s="232"/>
      <c r="I1465" s="233"/>
      <c r="J1465" s="234"/>
      <c r="K1465" s="234"/>
      <c r="L1465" s="234"/>
      <c r="M1465" s="234"/>
      <c r="N1465" s="234"/>
      <c r="O1465" s="234"/>
      <c r="P1465" s="234">
        <f>P1466</f>
        <v>63322.720000000001</v>
      </c>
      <c r="Q1465" s="234">
        <f t="shared" si="1319"/>
        <v>0</v>
      </c>
      <c r="R1465" s="234">
        <f t="shared" si="1319"/>
        <v>0</v>
      </c>
      <c r="S1465" s="234">
        <f t="shared" si="1319"/>
        <v>0</v>
      </c>
      <c r="T1465" s="234">
        <f t="shared" si="1319"/>
        <v>0</v>
      </c>
      <c r="U1465" s="234">
        <f t="shared" si="1319"/>
        <v>0</v>
      </c>
      <c r="V1465" s="234">
        <f t="shared" si="1314"/>
        <v>63322.720000000001</v>
      </c>
      <c r="W1465" s="234">
        <f t="shared" si="1314"/>
        <v>0</v>
      </c>
      <c r="X1465" s="234">
        <f t="shared" si="1314"/>
        <v>0</v>
      </c>
    </row>
    <row r="1466" spans="1:24" s="229" customFormat="1" hidden="1">
      <c r="A1466" s="235" t="s">
        <v>83</v>
      </c>
      <c r="B1466" s="247" t="s">
        <v>402</v>
      </c>
      <c r="C1466" s="227" t="s">
        <v>17</v>
      </c>
      <c r="D1466" s="227" t="s">
        <v>13</v>
      </c>
      <c r="E1466" s="227" t="s">
        <v>82</v>
      </c>
      <c r="F1466" s="227" t="s">
        <v>70</v>
      </c>
      <c r="G1466" s="227" t="s">
        <v>148</v>
      </c>
      <c r="H1466" s="227" t="s">
        <v>149</v>
      </c>
      <c r="I1466" s="237"/>
      <c r="J1466" s="244"/>
      <c r="K1466" s="244"/>
      <c r="L1466" s="244"/>
      <c r="M1466" s="244"/>
      <c r="N1466" s="244"/>
      <c r="O1466" s="244"/>
      <c r="P1466" s="244">
        <f>P1467</f>
        <v>63322.720000000001</v>
      </c>
      <c r="Q1466" s="244">
        <f t="shared" si="1319"/>
        <v>0</v>
      </c>
      <c r="R1466" s="244">
        <f t="shared" si="1319"/>
        <v>0</v>
      </c>
      <c r="S1466" s="244">
        <f t="shared" si="1319"/>
        <v>0</v>
      </c>
      <c r="T1466" s="244">
        <f t="shared" si="1319"/>
        <v>0</v>
      </c>
      <c r="U1466" s="244">
        <f t="shared" si="1319"/>
        <v>0</v>
      </c>
      <c r="V1466" s="244">
        <f t="shared" si="1314"/>
        <v>63322.720000000001</v>
      </c>
      <c r="W1466" s="244">
        <f t="shared" si="1314"/>
        <v>0</v>
      </c>
      <c r="X1466" s="244">
        <f t="shared" si="1314"/>
        <v>0</v>
      </c>
    </row>
    <row r="1467" spans="1:24" s="229" customFormat="1" ht="25.5" hidden="1">
      <c r="A1467" s="235" t="s">
        <v>304</v>
      </c>
      <c r="B1467" s="247" t="s">
        <v>402</v>
      </c>
      <c r="C1467" s="227" t="s">
        <v>17</v>
      </c>
      <c r="D1467" s="227" t="s">
        <v>13</v>
      </c>
      <c r="E1467" s="227" t="s">
        <v>82</v>
      </c>
      <c r="F1467" s="227" t="s">
        <v>70</v>
      </c>
      <c r="G1467" s="227" t="s">
        <v>148</v>
      </c>
      <c r="H1467" s="227" t="s">
        <v>305</v>
      </c>
      <c r="I1467" s="237"/>
      <c r="J1467" s="244"/>
      <c r="K1467" s="244"/>
      <c r="L1467" s="244"/>
      <c r="M1467" s="244"/>
      <c r="N1467" s="244"/>
      <c r="O1467" s="244"/>
      <c r="P1467" s="244">
        <f>P1468+P1470</f>
        <v>63322.720000000001</v>
      </c>
      <c r="Q1467" s="244">
        <f t="shared" ref="Q1467:U1467" si="1320">Q1468+Q1470</f>
        <v>0</v>
      </c>
      <c r="R1467" s="244">
        <f t="shared" si="1320"/>
        <v>0</v>
      </c>
      <c r="S1467" s="244">
        <f t="shared" si="1320"/>
        <v>0</v>
      </c>
      <c r="T1467" s="244">
        <f t="shared" si="1320"/>
        <v>0</v>
      </c>
      <c r="U1467" s="244">
        <f t="shared" si="1320"/>
        <v>0</v>
      </c>
      <c r="V1467" s="244">
        <f t="shared" si="1314"/>
        <v>63322.720000000001</v>
      </c>
      <c r="W1467" s="244">
        <f t="shared" si="1314"/>
        <v>0</v>
      </c>
      <c r="X1467" s="244">
        <f t="shared" si="1314"/>
        <v>0</v>
      </c>
    </row>
    <row r="1468" spans="1:24" s="229" customFormat="1" ht="38.25" hidden="1">
      <c r="A1468" s="239" t="s">
        <v>96</v>
      </c>
      <c r="B1468" s="247" t="s">
        <v>402</v>
      </c>
      <c r="C1468" s="227" t="s">
        <v>17</v>
      </c>
      <c r="D1468" s="227" t="s">
        <v>13</v>
      </c>
      <c r="E1468" s="227" t="s">
        <v>82</v>
      </c>
      <c r="F1468" s="227" t="s">
        <v>70</v>
      </c>
      <c r="G1468" s="227" t="s">
        <v>148</v>
      </c>
      <c r="H1468" s="227" t="s">
        <v>305</v>
      </c>
      <c r="I1468" s="237" t="s">
        <v>92</v>
      </c>
      <c r="J1468" s="244"/>
      <c r="K1468" s="244"/>
      <c r="L1468" s="244"/>
      <c r="M1468" s="244"/>
      <c r="N1468" s="244"/>
      <c r="O1468" s="244"/>
      <c r="P1468" s="244">
        <f>P1469</f>
        <v>31248</v>
      </c>
      <c r="Q1468" s="244">
        <f t="shared" ref="Q1468:U1468" si="1321">Q1469</f>
        <v>0</v>
      </c>
      <c r="R1468" s="244">
        <f t="shared" si="1321"/>
        <v>0</v>
      </c>
      <c r="S1468" s="244">
        <f t="shared" si="1321"/>
        <v>0</v>
      </c>
      <c r="T1468" s="244">
        <f t="shared" si="1321"/>
        <v>0</v>
      </c>
      <c r="U1468" s="244">
        <f t="shared" si="1321"/>
        <v>0</v>
      </c>
      <c r="V1468" s="244">
        <f t="shared" si="1314"/>
        <v>31248</v>
      </c>
      <c r="W1468" s="244">
        <f t="shared" si="1314"/>
        <v>0</v>
      </c>
      <c r="X1468" s="244">
        <f t="shared" si="1314"/>
        <v>0</v>
      </c>
    </row>
    <row r="1469" spans="1:24" s="229" customFormat="1" hidden="1">
      <c r="A1469" s="239" t="s">
        <v>103</v>
      </c>
      <c r="B1469" s="247" t="s">
        <v>402</v>
      </c>
      <c r="C1469" s="227" t="s">
        <v>17</v>
      </c>
      <c r="D1469" s="227" t="s">
        <v>13</v>
      </c>
      <c r="E1469" s="227" t="s">
        <v>82</v>
      </c>
      <c r="F1469" s="227" t="s">
        <v>70</v>
      </c>
      <c r="G1469" s="227" t="s">
        <v>148</v>
      </c>
      <c r="H1469" s="227" t="s">
        <v>305</v>
      </c>
      <c r="I1469" s="237" t="s">
        <v>102</v>
      </c>
      <c r="J1469" s="244"/>
      <c r="K1469" s="244"/>
      <c r="L1469" s="244"/>
      <c r="M1469" s="244"/>
      <c r="N1469" s="244"/>
      <c r="O1469" s="244"/>
      <c r="P1469" s="244">
        <f>24000+7248</f>
        <v>31248</v>
      </c>
      <c r="Q1469" s="244"/>
      <c r="R1469" s="244"/>
      <c r="S1469" s="244"/>
      <c r="T1469" s="244"/>
      <c r="U1469" s="244"/>
      <c r="V1469" s="244">
        <f t="shared" si="1314"/>
        <v>31248</v>
      </c>
      <c r="W1469" s="244">
        <f t="shared" si="1314"/>
        <v>0</v>
      </c>
      <c r="X1469" s="244">
        <f t="shared" si="1314"/>
        <v>0</v>
      </c>
    </row>
    <row r="1470" spans="1:24" s="229" customFormat="1" ht="25.5" hidden="1">
      <c r="A1470" s="240" t="s">
        <v>260</v>
      </c>
      <c r="B1470" s="247" t="s">
        <v>402</v>
      </c>
      <c r="C1470" s="227" t="s">
        <v>17</v>
      </c>
      <c r="D1470" s="227" t="s">
        <v>13</v>
      </c>
      <c r="E1470" s="227" t="s">
        <v>82</v>
      </c>
      <c r="F1470" s="227" t="s">
        <v>70</v>
      </c>
      <c r="G1470" s="227" t="s">
        <v>148</v>
      </c>
      <c r="H1470" s="227" t="s">
        <v>305</v>
      </c>
      <c r="I1470" s="237" t="s">
        <v>94</v>
      </c>
      <c r="J1470" s="244"/>
      <c r="K1470" s="244"/>
      <c r="L1470" s="244"/>
      <c r="M1470" s="244"/>
      <c r="N1470" s="244"/>
      <c r="O1470" s="244"/>
      <c r="P1470" s="244">
        <f>P1471</f>
        <v>32074.720000000001</v>
      </c>
      <c r="Q1470" s="244">
        <f t="shared" ref="Q1470:U1470" si="1322">Q1471</f>
        <v>0</v>
      </c>
      <c r="R1470" s="244">
        <f t="shared" si="1322"/>
        <v>0</v>
      </c>
      <c r="S1470" s="244">
        <f t="shared" si="1322"/>
        <v>0</v>
      </c>
      <c r="T1470" s="244">
        <f t="shared" si="1322"/>
        <v>0</v>
      </c>
      <c r="U1470" s="244">
        <f t="shared" si="1322"/>
        <v>0</v>
      </c>
      <c r="V1470" s="244">
        <f t="shared" ref="V1470:X1485" si="1323">P1470+S1470</f>
        <v>32074.720000000001</v>
      </c>
      <c r="W1470" s="244">
        <f t="shared" si="1323"/>
        <v>0</v>
      </c>
      <c r="X1470" s="244">
        <f t="shared" si="1323"/>
        <v>0</v>
      </c>
    </row>
    <row r="1471" spans="1:24" s="229" customFormat="1" ht="25.5" hidden="1">
      <c r="A1471" s="239" t="s">
        <v>98</v>
      </c>
      <c r="B1471" s="247" t="s">
        <v>402</v>
      </c>
      <c r="C1471" s="227" t="s">
        <v>17</v>
      </c>
      <c r="D1471" s="227" t="s">
        <v>13</v>
      </c>
      <c r="E1471" s="227" t="s">
        <v>82</v>
      </c>
      <c r="F1471" s="227" t="s">
        <v>70</v>
      </c>
      <c r="G1471" s="227" t="s">
        <v>148</v>
      </c>
      <c r="H1471" s="227" t="s">
        <v>305</v>
      </c>
      <c r="I1471" s="237" t="s">
        <v>95</v>
      </c>
      <c r="J1471" s="244"/>
      <c r="K1471" s="244"/>
      <c r="L1471" s="244"/>
      <c r="M1471" s="244"/>
      <c r="N1471" s="244"/>
      <c r="O1471" s="244"/>
      <c r="P1471" s="244">
        <v>32074.720000000001</v>
      </c>
      <c r="Q1471" s="244"/>
      <c r="R1471" s="244"/>
      <c r="S1471" s="244"/>
      <c r="T1471" s="244"/>
      <c r="U1471" s="244"/>
      <c r="V1471" s="244">
        <f t="shared" si="1323"/>
        <v>32074.720000000001</v>
      </c>
      <c r="W1471" s="244">
        <f t="shared" si="1323"/>
        <v>0</v>
      </c>
      <c r="X1471" s="244">
        <f t="shared" si="1323"/>
        <v>0</v>
      </c>
    </row>
    <row r="1472" spans="1:24" s="255" customFormat="1" ht="31.5" hidden="1">
      <c r="A1472" s="249" t="s">
        <v>26</v>
      </c>
      <c r="B1472" s="251" t="s">
        <v>402</v>
      </c>
      <c r="C1472" s="251" t="s">
        <v>13</v>
      </c>
      <c r="D1472" s="252"/>
      <c r="E1472" s="252"/>
      <c r="F1472" s="252"/>
      <c r="G1472" s="252"/>
      <c r="H1472" s="252"/>
      <c r="I1472" s="253"/>
      <c r="J1472" s="254"/>
      <c r="K1472" s="254"/>
      <c r="L1472" s="254"/>
      <c r="M1472" s="254"/>
      <c r="N1472" s="254"/>
      <c r="O1472" s="254"/>
      <c r="P1472" s="254">
        <f>P1473</f>
        <v>72000</v>
      </c>
      <c r="Q1472" s="254">
        <f t="shared" ref="Q1472:U1476" si="1324">Q1473</f>
        <v>0</v>
      </c>
      <c r="R1472" s="254">
        <f t="shared" si="1324"/>
        <v>0</v>
      </c>
      <c r="S1472" s="254">
        <f t="shared" si="1324"/>
        <v>0</v>
      </c>
      <c r="T1472" s="254">
        <f t="shared" si="1324"/>
        <v>0</v>
      </c>
      <c r="U1472" s="254">
        <f t="shared" si="1324"/>
        <v>0</v>
      </c>
      <c r="V1472" s="254">
        <f t="shared" si="1323"/>
        <v>72000</v>
      </c>
      <c r="W1472" s="254">
        <f t="shared" si="1323"/>
        <v>0</v>
      </c>
      <c r="X1472" s="254">
        <f t="shared" si="1323"/>
        <v>0</v>
      </c>
    </row>
    <row r="1473" spans="1:24" s="229" customFormat="1" ht="38.25" hidden="1">
      <c r="A1473" s="256" t="s">
        <v>230</v>
      </c>
      <c r="B1473" s="257" t="s">
        <v>402</v>
      </c>
      <c r="C1473" s="257" t="s">
        <v>13</v>
      </c>
      <c r="D1473" s="257" t="s">
        <v>30</v>
      </c>
      <c r="E1473" s="257"/>
      <c r="F1473" s="257"/>
      <c r="G1473" s="257"/>
      <c r="H1473" s="257"/>
      <c r="I1473" s="258"/>
      <c r="J1473" s="259"/>
      <c r="K1473" s="259"/>
      <c r="L1473" s="259"/>
      <c r="M1473" s="259"/>
      <c r="N1473" s="259"/>
      <c r="O1473" s="259"/>
      <c r="P1473" s="259">
        <f>P1474</f>
        <v>72000</v>
      </c>
      <c r="Q1473" s="259">
        <f t="shared" si="1324"/>
        <v>0</v>
      </c>
      <c r="R1473" s="259">
        <f t="shared" si="1324"/>
        <v>0</v>
      </c>
      <c r="S1473" s="259">
        <f t="shared" si="1324"/>
        <v>0</v>
      </c>
      <c r="T1473" s="259">
        <f t="shared" si="1324"/>
        <v>0</v>
      </c>
      <c r="U1473" s="259">
        <f t="shared" si="1324"/>
        <v>0</v>
      </c>
      <c r="V1473" s="259">
        <f t="shared" si="1323"/>
        <v>72000</v>
      </c>
      <c r="W1473" s="259">
        <f t="shared" si="1323"/>
        <v>0</v>
      </c>
      <c r="X1473" s="259">
        <f t="shared" si="1323"/>
        <v>0</v>
      </c>
    </row>
    <row r="1474" spans="1:24" s="229" customFormat="1" hidden="1">
      <c r="A1474" s="260" t="s">
        <v>290</v>
      </c>
      <c r="B1474" s="261" t="s">
        <v>402</v>
      </c>
      <c r="C1474" s="261" t="s">
        <v>13</v>
      </c>
      <c r="D1474" s="261" t="s">
        <v>30</v>
      </c>
      <c r="E1474" s="261" t="s">
        <v>214</v>
      </c>
      <c r="F1474" s="261" t="s">
        <v>70</v>
      </c>
      <c r="G1474" s="261" t="s">
        <v>148</v>
      </c>
      <c r="H1474" s="261" t="s">
        <v>149</v>
      </c>
      <c r="I1474" s="262"/>
      <c r="J1474" s="263"/>
      <c r="K1474" s="263"/>
      <c r="L1474" s="263"/>
      <c r="M1474" s="263"/>
      <c r="N1474" s="263"/>
      <c r="O1474" s="263"/>
      <c r="P1474" s="263">
        <f>P1475</f>
        <v>72000</v>
      </c>
      <c r="Q1474" s="263">
        <f t="shared" si="1324"/>
        <v>0</v>
      </c>
      <c r="R1474" s="263">
        <f t="shared" si="1324"/>
        <v>0</v>
      </c>
      <c r="S1474" s="263">
        <f t="shared" si="1324"/>
        <v>0</v>
      </c>
      <c r="T1474" s="263">
        <f t="shared" si="1324"/>
        <v>0</v>
      </c>
      <c r="U1474" s="263">
        <f t="shared" si="1324"/>
        <v>0</v>
      </c>
      <c r="V1474" s="263">
        <f t="shared" si="1323"/>
        <v>72000</v>
      </c>
      <c r="W1474" s="263">
        <f t="shared" si="1323"/>
        <v>0</v>
      </c>
      <c r="X1474" s="263">
        <f t="shared" si="1323"/>
        <v>0</v>
      </c>
    </row>
    <row r="1475" spans="1:24" s="229" customFormat="1" hidden="1">
      <c r="A1475" s="241" t="s">
        <v>336</v>
      </c>
      <c r="B1475" s="261" t="s">
        <v>402</v>
      </c>
      <c r="C1475" s="261" t="s">
        <v>13</v>
      </c>
      <c r="D1475" s="261" t="s">
        <v>30</v>
      </c>
      <c r="E1475" s="261" t="s">
        <v>214</v>
      </c>
      <c r="F1475" s="261" t="s">
        <v>70</v>
      </c>
      <c r="G1475" s="261" t="s">
        <v>148</v>
      </c>
      <c r="H1475" s="261" t="s">
        <v>335</v>
      </c>
      <c r="I1475" s="262"/>
      <c r="J1475" s="263"/>
      <c r="K1475" s="263"/>
      <c r="L1475" s="263"/>
      <c r="M1475" s="263"/>
      <c r="N1475" s="263"/>
      <c r="O1475" s="263"/>
      <c r="P1475" s="263">
        <f>P1476</f>
        <v>72000</v>
      </c>
      <c r="Q1475" s="263">
        <f t="shared" si="1324"/>
        <v>0</v>
      </c>
      <c r="R1475" s="263">
        <f t="shared" si="1324"/>
        <v>0</v>
      </c>
      <c r="S1475" s="263">
        <f t="shared" si="1324"/>
        <v>0</v>
      </c>
      <c r="T1475" s="263">
        <f t="shared" si="1324"/>
        <v>0</v>
      </c>
      <c r="U1475" s="263">
        <f t="shared" si="1324"/>
        <v>0</v>
      </c>
      <c r="V1475" s="263">
        <f t="shared" si="1323"/>
        <v>72000</v>
      </c>
      <c r="W1475" s="263">
        <f t="shared" si="1323"/>
        <v>0</v>
      </c>
      <c r="X1475" s="263">
        <f t="shared" si="1323"/>
        <v>0</v>
      </c>
    </row>
    <row r="1476" spans="1:24" s="229" customFormat="1" ht="25.5" hidden="1">
      <c r="A1476" s="240" t="s">
        <v>260</v>
      </c>
      <c r="B1476" s="261" t="s">
        <v>402</v>
      </c>
      <c r="C1476" s="261" t="s">
        <v>13</v>
      </c>
      <c r="D1476" s="261" t="s">
        <v>30</v>
      </c>
      <c r="E1476" s="261" t="s">
        <v>214</v>
      </c>
      <c r="F1476" s="261" t="s">
        <v>70</v>
      </c>
      <c r="G1476" s="261" t="s">
        <v>148</v>
      </c>
      <c r="H1476" s="261" t="s">
        <v>335</v>
      </c>
      <c r="I1476" s="262" t="s">
        <v>94</v>
      </c>
      <c r="J1476" s="263"/>
      <c r="K1476" s="263"/>
      <c r="L1476" s="263"/>
      <c r="M1476" s="263"/>
      <c r="N1476" s="263"/>
      <c r="O1476" s="263"/>
      <c r="P1476" s="263">
        <f>P1477</f>
        <v>72000</v>
      </c>
      <c r="Q1476" s="263">
        <f t="shared" si="1324"/>
        <v>0</v>
      </c>
      <c r="R1476" s="263">
        <f t="shared" si="1324"/>
        <v>0</v>
      </c>
      <c r="S1476" s="263">
        <f t="shared" si="1324"/>
        <v>0</v>
      </c>
      <c r="T1476" s="263">
        <f t="shared" si="1324"/>
        <v>0</v>
      </c>
      <c r="U1476" s="263">
        <f t="shared" si="1324"/>
        <v>0</v>
      </c>
      <c r="V1476" s="263">
        <f t="shared" si="1323"/>
        <v>72000</v>
      </c>
      <c r="W1476" s="263">
        <f t="shared" si="1323"/>
        <v>0</v>
      </c>
      <c r="X1476" s="263">
        <f t="shared" si="1323"/>
        <v>0</v>
      </c>
    </row>
    <row r="1477" spans="1:24" s="229" customFormat="1" ht="25.5" hidden="1">
      <c r="A1477" s="239" t="s">
        <v>98</v>
      </c>
      <c r="B1477" s="261" t="s">
        <v>402</v>
      </c>
      <c r="C1477" s="261" t="s">
        <v>13</v>
      </c>
      <c r="D1477" s="261" t="s">
        <v>30</v>
      </c>
      <c r="E1477" s="261" t="s">
        <v>214</v>
      </c>
      <c r="F1477" s="261" t="s">
        <v>70</v>
      </c>
      <c r="G1477" s="261" t="s">
        <v>148</v>
      </c>
      <c r="H1477" s="261" t="s">
        <v>335</v>
      </c>
      <c r="I1477" s="262" t="s">
        <v>95</v>
      </c>
      <c r="J1477" s="263"/>
      <c r="K1477" s="263"/>
      <c r="L1477" s="263"/>
      <c r="M1477" s="263"/>
      <c r="N1477" s="263"/>
      <c r="O1477" s="263"/>
      <c r="P1477" s="263">
        <v>72000</v>
      </c>
      <c r="Q1477" s="263"/>
      <c r="R1477" s="263"/>
      <c r="S1477" s="263"/>
      <c r="T1477" s="263"/>
      <c r="U1477" s="263"/>
      <c r="V1477" s="263">
        <f t="shared" si="1323"/>
        <v>72000</v>
      </c>
      <c r="W1477" s="263">
        <f t="shared" si="1323"/>
        <v>0</v>
      </c>
      <c r="X1477" s="263">
        <f t="shared" si="1323"/>
        <v>0</v>
      </c>
    </row>
    <row r="1478" spans="1:24" s="229" customFormat="1" ht="15.75" hidden="1">
      <c r="A1478" s="225" t="s">
        <v>15</v>
      </c>
      <c r="B1478" s="266" t="s">
        <v>402</v>
      </c>
      <c r="C1478" s="266" t="s">
        <v>16</v>
      </c>
      <c r="D1478" s="247"/>
      <c r="E1478" s="247"/>
      <c r="F1478" s="247"/>
      <c r="G1478" s="247"/>
      <c r="H1478" s="247"/>
      <c r="I1478" s="248"/>
      <c r="J1478" s="228"/>
      <c r="K1478" s="228"/>
      <c r="L1478" s="228"/>
      <c r="M1478" s="228"/>
      <c r="N1478" s="228"/>
      <c r="O1478" s="228"/>
      <c r="P1478" s="228">
        <f t="shared" ref="P1478:U1478" si="1325">P1479+P1484</f>
        <v>1975000</v>
      </c>
      <c r="Q1478" s="228">
        <f t="shared" si="1325"/>
        <v>0</v>
      </c>
      <c r="R1478" s="228">
        <f t="shared" si="1325"/>
        <v>0</v>
      </c>
      <c r="S1478" s="228">
        <f t="shared" si="1325"/>
        <v>0</v>
      </c>
      <c r="T1478" s="228">
        <f t="shared" si="1325"/>
        <v>0</v>
      </c>
      <c r="U1478" s="228">
        <f t="shared" si="1325"/>
        <v>0</v>
      </c>
      <c r="V1478" s="228">
        <f t="shared" si="1323"/>
        <v>1975000</v>
      </c>
      <c r="W1478" s="228">
        <f t="shared" si="1323"/>
        <v>0</v>
      </c>
      <c r="X1478" s="228">
        <f t="shared" si="1323"/>
        <v>0</v>
      </c>
    </row>
    <row r="1479" spans="1:24" s="229" customFormat="1" hidden="1">
      <c r="A1479" s="230" t="s">
        <v>23</v>
      </c>
      <c r="B1479" s="232" t="s">
        <v>402</v>
      </c>
      <c r="C1479" s="232" t="s">
        <v>16</v>
      </c>
      <c r="D1479" s="232" t="s">
        <v>27</v>
      </c>
      <c r="E1479" s="232"/>
      <c r="F1479" s="232"/>
      <c r="G1479" s="232"/>
      <c r="H1479" s="269"/>
      <c r="I1479" s="233"/>
      <c r="J1479" s="234"/>
      <c r="K1479" s="234"/>
      <c r="L1479" s="234"/>
      <c r="M1479" s="234"/>
      <c r="N1479" s="234"/>
      <c r="O1479" s="234"/>
      <c r="P1479" s="234">
        <f>P1480</f>
        <v>1575000</v>
      </c>
      <c r="Q1479" s="234">
        <f t="shared" ref="Q1479:U1482" si="1326">Q1480</f>
        <v>0</v>
      </c>
      <c r="R1479" s="234">
        <f t="shared" si="1326"/>
        <v>0</v>
      </c>
      <c r="S1479" s="234">
        <f t="shared" si="1326"/>
        <v>0</v>
      </c>
      <c r="T1479" s="234">
        <f t="shared" si="1326"/>
        <v>0</v>
      </c>
      <c r="U1479" s="234">
        <f t="shared" si="1326"/>
        <v>0</v>
      </c>
      <c r="V1479" s="234">
        <f t="shared" si="1323"/>
        <v>1575000</v>
      </c>
      <c r="W1479" s="234">
        <f t="shared" si="1323"/>
        <v>0</v>
      </c>
      <c r="X1479" s="234">
        <f t="shared" si="1323"/>
        <v>0</v>
      </c>
    </row>
    <row r="1480" spans="1:24" s="229" customFormat="1" ht="38.25" hidden="1">
      <c r="A1480" s="235" t="s">
        <v>396</v>
      </c>
      <c r="B1480" s="227" t="s">
        <v>402</v>
      </c>
      <c r="C1480" s="227" t="s">
        <v>16</v>
      </c>
      <c r="D1480" s="227" t="s">
        <v>27</v>
      </c>
      <c r="E1480" s="227" t="s">
        <v>18</v>
      </c>
      <c r="F1480" s="227" t="s">
        <v>70</v>
      </c>
      <c r="G1480" s="227" t="s">
        <v>148</v>
      </c>
      <c r="H1480" s="267" t="s">
        <v>149</v>
      </c>
      <c r="I1480" s="237"/>
      <c r="J1480" s="238"/>
      <c r="K1480" s="238"/>
      <c r="L1480" s="238"/>
      <c r="M1480" s="238"/>
      <c r="N1480" s="238"/>
      <c r="O1480" s="238"/>
      <c r="P1480" s="238">
        <f>P1481</f>
        <v>1575000</v>
      </c>
      <c r="Q1480" s="238">
        <f t="shared" si="1326"/>
        <v>0</v>
      </c>
      <c r="R1480" s="238">
        <f t="shared" si="1326"/>
        <v>0</v>
      </c>
      <c r="S1480" s="238">
        <f t="shared" si="1326"/>
        <v>0</v>
      </c>
      <c r="T1480" s="238">
        <f t="shared" si="1326"/>
        <v>0</v>
      </c>
      <c r="U1480" s="238">
        <f t="shared" si="1326"/>
        <v>0</v>
      </c>
      <c r="V1480" s="238">
        <f t="shared" si="1323"/>
        <v>1575000</v>
      </c>
      <c r="W1480" s="238">
        <f t="shared" si="1323"/>
        <v>0</v>
      </c>
      <c r="X1480" s="238">
        <f t="shared" si="1323"/>
        <v>0</v>
      </c>
    </row>
    <row r="1481" spans="1:24" s="229" customFormat="1" ht="25.5" hidden="1">
      <c r="A1481" s="268" t="s">
        <v>312</v>
      </c>
      <c r="B1481" s="227" t="s">
        <v>402</v>
      </c>
      <c r="C1481" s="227" t="s">
        <v>16</v>
      </c>
      <c r="D1481" s="227" t="s">
        <v>27</v>
      </c>
      <c r="E1481" s="227" t="s">
        <v>18</v>
      </c>
      <c r="F1481" s="227" t="s">
        <v>70</v>
      </c>
      <c r="G1481" s="227" t="s">
        <v>148</v>
      </c>
      <c r="H1481" s="267" t="s">
        <v>311</v>
      </c>
      <c r="I1481" s="272"/>
      <c r="J1481" s="238"/>
      <c r="K1481" s="238"/>
      <c r="L1481" s="238"/>
      <c r="M1481" s="238"/>
      <c r="N1481" s="238"/>
      <c r="O1481" s="238"/>
      <c r="P1481" s="238">
        <f>P1482</f>
        <v>1575000</v>
      </c>
      <c r="Q1481" s="238">
        <f t="shared" si="1326"/>
        <v>0</v>
      </c>
      <c r="R1481" s="238">
        <f t="shared" si="1326"/>
        <v>0</v>
      </c>
      <c r="S1481" s="238">
        <f t="shared" si="1326"/>
        <v>0</v>
      </c>
      <c r="T1481" s="238">
        <f t="shared" si="1326"/>
        <v>0</v>
      </c>
      <c r="U1481" s="238">
        <f t="shared" si="1326"/>
        <v>0</v>
      </c>
      <c r="V1481" s="238">
        <f t="shared" si="1323"/>
        <v>1575000</v>
      </c>
      <c r="W1481" s="238">
        <f t="shared" si="1323"/>
        <v>0</v>
      </c>
      <c r="X1481" s="238">
        <f t="shared" si="1323"/>
        <v>0</v>
      </c>
    </row>
    <row r="1482" spans="1:24" s="229" customFormat="1" ht="25.5" hidden="1">
      <c r="A1482" s="240" t="s">
        <v>260</v>
      </c>
      <c r="B1482" s="227" t="s">
        <v>402</v>
      </c>
      <c r="C1482" s="227" t="s">
        <v>16</v>
      </c>
      <c r="D1482" s="227" t="s">
        <v>27</v>
      </c>
      <c r="E1482" s="227" t="s">
        <v>18</v>
      </c>
      <c r="F1482" s="227" t="s">
        <v>70</v>
      </c>
      <c r="G1482" s="227" t="s">
        <v>148</v>
      </c>
      <c r="H1482" s="267" t="s">
        <v>311</v>
      </c>
      <c r="I1482" s="272" t="s">
        <v>94</v>
      </c>
      <c r="J1482" s="238"/>
      <c r="K1482" s="238"/>
      <c r="L1482" s="238"/>
      <c r="M1482" s="238"/>
      <c r="N1482" s="238"/>
      <c r="O1482" s="238"/>
      <c r="P1482" s="238">
        <f>P1483</f>
        <v>1575000</v>
      </c>
      <c r="Q1482" s="238">
        <f t="shared" si="1326"/>
        <v>0</v>
      </c>
      <c r="R1482" s="238">
        <f t="shared" si="1326"/>
        <v>0</v>
      </c>
      <c r="S1482" s="238">
        <f t="shared" si="1326"/>
        <v>0</v>
      </c>
      <c r="T1482" s="238">
        <f t="shared" si="1326"/>
        <v>0</v>
      </c>
      <c r="U1482" s="238">
        <f t="shared" si="1326"/>
        <v>0</v>
      </c>
      <c r="V1482" s="238">
        <f t="shared" si="1323"/>
        <v>1575000</v>
      </c>
      <c r="W1482" s="238">
        <f t="shared" si="1323"/>
        <v>0</v>
      </c>
      <c r="X1482" s="238">
        <f t="shared" si="1323"/>
        <v>0</v>
      </c>
    </row>
    <row r="1483" spans="1:24" s="229" customFormat="1" ht="25.5" hidden="1">
      <c r="A1483" s="239" t="s">
        <v>98</v>
      </c>
      <c r="B1483" s="227" t="s">
        <v>402</v>
      </c>
      <c r="C1483" s="227" t="s">
        <v>16</v>
      </c>
      <c r="D1483" s="227" t="s">
        <v>27</v>
      </c>
      <c r="E1483" s="227" t="s">
        <v>18</v>
      </c>
      <c r="F1483" s="227" t="s">
        <v>70</v>
      </c>
      <c r="G1483" s="227" t="s">
        <v>148</v>
      </c>
      <c r="H1483" s="267" t="s">
        <v>311</v>
      </c>
      <c r="I1483" s="272" t="s">
        <v>95</v>
      </c>
      <c r="J1483" s="238"/>
      <c r="K1483" s="238"/>
      <c r="L1483" s="238"/>
      <c r="M1483" s="238"/>
      <c r="N1483" s="238"/>
      <c r="O1483" s="238"/>
      <c r="P1483" s="238">
        <v>1575000</v>
      </c>
      <c r="Q1483" s="238">
        <f t="shared" ref="Q1483:R1483" si="1327">K1483+N1483</f>
        <v>0</v>
      </c>
      <c r="R1483" s="238">
        <f t="shared" si="1327"/>
        <v>0</v>
      </c>
      <c r="S1483" s="238"/>
      <c r="T1483" s="238"/>
      <c r="U1483" s="238"/>
      <c r="V1483" s="238">
        <f t="shared" si="1323"/>
        <v>1575000</v>
      </c>
      <c r="W1483" s="238">
        <f t="shared" si="1323"/>
        <v>0</v>
      </c>
      <c r="X1483" s="238">
        <f t="shared" si="1323"/>
        <v>0</v>
      </c>
    </row>
    <row r="1484" spans="1:24" s="229" customFormat="1" hidden="1">
      <c r="A1484" s="230" t="s">
        <v>60</v>
      </c>
      <c r="B1484" s="231" t="s">
        <v>402</v>
      </c>
      <c r="C1484" s="231" t="s">
        <v>16</v>
      </c>
      <c r="D1484" s="231" t="s">
        <v>14</v>
      </c>
      <c r="E1484" s="231"/>
      <c r="F1484" s="231"/>
      <c r="G1484" s="231"/>
      <c r="H1484" s="227"/>
      <c r="I1484" s="237"/>
      <c r="J1484" s="234"/>
      <c r="K1484" s="234"/>
      <c r="L1484" s="234"/>
      <c r="M1484" s="234"/>
      <c r="N1484" s="234"/>
      <c r="O1484" s="234"/>
      <c r="P1484" s="234">
        <f>P1485</f>
        <v>400000</v>
      </c>
      <c r="Q1484" s="234">
        <f t="shared" ref="Q1484:U1487" si="1328">Q1485</f>
        <v>0</v>
      </c>
      <c r="R1484" s="234">
        <f t="shared" si="1328"/>
        <v>0</v>
      </c>
      <c r="S1484" s="234">
        <f t="shared" si="1328"/>
        <v>0</v>
      </c>
      <c r="T1484" s="234">
        <f t="shared" si="1328"/>
        <v>0</v>
      </c>
      <c r="U1484" s="234">
        <f t="shared" si="1328"/>
        <v>0</v>
      </c>
      <c r="V1484" s="234">
        <f t="shared" si="1323"/>
        <v>400000</v>
      </c>
      <c r="W1484" s="234">
        <f t="shared" si="1323"/>
        <v>0</v>
      </c>
      <c r="X1484" s="234">
        <f t="shared" si="1323"/>
        <v>0</v>
      </c>
    </row>
    <row r="1485" spans="1:24" s="229" customFormat="1" hidden="1">
      <c r="A1485" s="235" t="s">
        <v>84</v>
      </c>
      <c r="B1485" s="227" t="s">
        <v>402</v>
      </c>
      <c r="C1485" s="227" t="s">
        <v>16</v>
      </c>
      <c r="D1485" s="227" t="s">
        <v>14</v>
      </c>
      <c r="E1485" s="227" t="s">
        <v>82</v>
      </c>
      <c r="F1485" s="227" t="s">
        <v>70</v>
      </c>
      <c r="G1485" s="227" t="s">
        <v>148</v>
      </c>
      <c r="H1485" s="227" t="s">
        <v>149</v>
      </c>
      <c r="I1485" s="237"/>
      <c r="J1485" s="238"/>
      <c r="K1485" s="238"/>
      <c r="L1485" s="238"/>
      <c r="M1485" s="238"/>
      <c r="N1485" s="238"/>
      <c r="O1485" s="238"/>
      <c r="P1485" s="238">
        <f>P1486</f>
        <v>400000</v>
      </c>
      <c r="Q1485" s="238">
        <f t="shared" si="1328"/>
        <v>0</v>
      </c>
      <c r="R1485" s="238">
        <f t="shared" si="1328"/>
        <v>0</v>
      </c>
      <c r="S1485" s="238">
        <f t="shared" si="1328"/>
        <v>0</v>
      </c>
      <c r="T1485" s="238">
        <f t="shared" si="1328"/>
        <v>0</v>
      </c>
      <c r="U1485" s="238">
        <f t="shared" si="1328"/>
        <v>0</v>
      </c>
      <c r="V1485" s="238">
        <f t="shared" si="1323"/>
        <v>400000</v>
      </c>
      <c r="W1485" s="238">
        <f t="shared" si="1323"/>
        <v>0</v>
      </c>
      <c r="X1485" s="238">
        <f t="shared" si="1323"/>
        <v>0</v>
      </c>
    </row>
    <row r="1486" spans="1:24" s="229" customFormat="1" ht="38.25" hidden="1">
      <c r="A1486" s="235" t="s">
        <v>350</v>
      </c>
      <c r="B1486" s="227" t="s">
        <v>402</v>
      </c>
      <c r="C1486" s="227" t="s">
        <v>16</v>
      </c>
      <c r="D1486" s="227" t="s">
        <v>14</v>
      </c>
      <c r="E1486" s="227" t="s">
        <v>82</v>
      </c>
      <c r="F1486" s="227" t="s">
        <v>70</v>
      </c>
      <c r="G1486" s="227" t="s">
        <v>148</v>
      </c>
      <c r="H1486" s="227" t="s">
        <v>179</v>
      </c>
      <c r="I1486" s="237"/>
      <c r="J1486" s="238"/>
      <c r="K1486" s="238"/>
      <c r="L1486" s="238"/>
      <c r="M1486" s="238"/>
      <c r="N1486" s="238"/>
      <c r="O1486" s="238"/>
      <c r="P1486" s="238">
        <f>P1487</f>
        <v>400000</v>
      </c>
      <c r="Q1486" s="238">
        <f t="shared" si="1328"/>
        <v>0</v>
      </c>
      <c r="R1486" s="238">
        <f t="shared" si="1328"/>
        <v>0</v>
      </c>
      <c r="S1486" s="238">
        <f t="shared" si="1328"/>
        <v>0</v>
      </c>
      <c r="T1486" s="238">
        <f t="shared" si="1328"/>
        <v>0</v>
      </c>
      <c r="U1486" s="238">
        <f t="shared" si="1328"/>
        <v>0</v>
      </c>
      <c r="V1486" s="238">
        <f t="shared" ref="V1486:X1501" si="1329">P1486+S1486</f>
        <v>400000</v>
      </c>
      <c r="W1486" s="238">
        <f t="shared" si="1329"/>
        <v>0</v>
      </c>
      <c r="X1486" s="238">
        <f t="shared" si="1329"/>
        <v>0</v>
      </c>
    </row>
    <row r="1487" spans="1:24" s="229" customFormat="1" ht="25.5" hidden="1">
      <c r="A1487" s="240" t="s">
        <v>260</v>
      </c>
      <c r="B1487" s="227" t="s">
        <v>402</v>
      </c>
      <c r="C1487" s="227" t="s">
        <v>16</v>
      </c>
      <c r="D1487" s="227" t="s">
        <v>14</v>
      </c>
      <c r="E1487" s="227" t="s">
        <v>82</v>
      </c>
      <c r="F1487" s="227" t="s">
        <v>70</v>
      </c>
      <c r="G1487" s="227" t="s">
        <v>148</v>
      </c>
      <c r="H1487" s="227" t="s">
        <v>179</v>
      </c>
      <c r="I1487" s="237" t="s">
        <v>94</v>
      </c>
      <c r="J1487" s="238"/>
      <c r="K1487" s="238"/>
      <c r="L1487" s="238"/>
      <c r="M1487" s="238"/>
      <c r="N1487" s="238"/>
      <c r="O1487" s="238"/>
      <c r="P1487" s="238">
        <f>P1488</f>
        <v>400000</v>
      </c>
      <c r="Q1487" s="238">
        <f t="shared" si="1328"/>
        <v>0</v>
      </c>
      <c r="R1487" s="238">
        <f t="shared" si="1328"/>
        <v>0</v>
      </c>
      <c r="S1487" s="238">
        <f t="shared" si="1328"/>
        <v>0</v>
      </c>
      <c r="T1487" s="238">
        <f t="shared" si="1328"/>
        <v>0</v>
      </c>
      <c r="U1487" s="238">
        <f t="shared" si="1328"/>
        <v>0</v>
      </c>
      <c r="V1487" s="238">
        <f t="shared" si="1329"/>
        <v>400000</v>
      </c>
      <c r="W1487" s="238">
        <f t="shared" si="1329"/>
        <v>0</v>
      </c>
      <c r="X1487" s="238">
        <f t="shared" si="1329"/>
        <v>0</v>
      </c>
    </row>
    <row r="1488" spans="1:24" s="229" customFormat="1" ht="25.5" hidden="1">
      <c r="A1488" s="239" t="s">
        <v>98</v>
      </c>
      <c r="B1488" s="227" t="s">
        <v>402</v>
      </c>
      <c r="C1488" s="227" t="s">
        <v>16</v>
      </c>
      <c r="D1488" s="227" t="s">
        <v>14</v>
      </c>
      <c r="E1488" s="227" t="s">
        <v>82</v>
      </c>
      <c r="F1488" s="227" t="s">
        <v>70</v>
      </c>
      <c r="G1488" s="227" t="s">
        <v>148</v>
      </c>
      <c r="H1488" s="227" t="s">
        <v>179</v>
      </c>
      <c r="I1488" s="237" t="s">
        <v>95</v>
      </c>
      <c r="J1488" s="238"/>
      <c r="K1488" s="238"/>
      <c r="L1488" s="238"/>
      <c r="M1488" s="238"/>
      <c r="N1488" s="238"/>
      <c r="O1488" s="238"/>
      <c r="P1488" s="238">
        <v>400000</v>
      </c>
      <c r="Q1488" s="238"/>
      <c r="R1488" s="238"/>
      <c r="S1488" s="238"/>
      <c r="T1488" s="238"/>
      <c r="U1488" s="238"/>
      <c r="V1488" s="238">
        <f t="shared" si="1329"/>
        <v>400000</v>
      </c>
      <c r="W1488" s="238">
        <f t="shared" si="1329"/>
        <v>0</v>
      </c>
      <c r="X1488" s="238">
        <f t="shared" si="1329"/>
        <v>0</v>
      </c>
    </row>
    <row r="1489" spans="1:24" s="229" customFormat="1" ht="15.75" hidden="1">
      <c r="A1489" s="273" t="s">
        <v>46</v>
      </c>
      <c r="B1489" s="274" t="s">
        <v>402</v>
      </c>
      <c r="C1489" s="274" t="s">
        <v>18</v>
      </c>
      <c r="D1489" s="274"/>
      <c r="E1489" s="274"/>
      <c r="F1489" s="274"/>
      <c r="G1489" s="274"/>
      <c r="H1489" s="274"/>
      <c r="I1489" s="275"/>
      <c r="J1489" s="228"/>
      <c r="K1489" s="228"/>
      <c r="L1489" s="228"/>
      <c r="M1489" s="228"/>
      <c r="N1489" s="228"/>
      <c r="O1489" s="228"/>
      <c r="P1489" s="228">
        <f>P1490</f>
        <v>866836</v>
      </c>
      <c r="Q1489" s="228">
        <f t="shared" ref="Q1489:U1489" si="1330">Q1490</f>
        <v>182472.52</v>
      </c>
      <c r="R1489" s="228">
        <f t="shared" si="1330"/>
        <v>123063.5</v>
      </c>
      <c r="S1489" s="228">
        <f t="shared" si="1330"/>
        <v>200000</v>
      </c>
      <c r="T1489" s="228">
        <f t="shared" si="1330"/>
        <v>0</v>
      </c>
      <c r="U1489" s="228">
        <f t="shared" si="1330"/>
        <v>0</v>
      </c>
      <c r="V1489" s="228">
        <f t="shared" si="1329"/>
        <v>1066836</v>
      </c>
      <c r="W1489" s="228">
        <f t="shared" si="1329"/>
        <v>182472.52</v>
      </c>
      <c r="X1489" s="228">
        <f t="shared" si="1329"/>
        <v>123063.5</v>
      </c>
    </row>
    <row r="1490" spans="1:24" s="255" customFormat="1" hidden="1">
      <c r="A1490" s="278" t="s">
        <v>68</v>
      </c>
      <c r="B1490" s="231" t="s">
        <v>402</v>
      </c>
      <c r="C1490" s="231" t="s">
        <v>18</v>
      </c>
      <c r="D1490" s="231" t="s">
        <v>13</v>
      </c>
      <c r="E1490" s="231"/>
      <c r="F1490" s="231"/>
      <c r="G1490" s="231"/>
      <c r="H1490" s="231"/>
      <c r="I1490" s="242"/>
      <c r="J1490" s="234"/>
      <c r="K1490" s="234"/>
      <c r="L1490" s="234"/>
      <c r="M1490" s="234"/>
      <c r="N1490" s="234"/>
      <c r="O1490" s="234"/>
      <c r="P1490" s="234">
        <f>P1491+P1495</f>
        <v>866836</v>
      </c>
      <c r="Q1490" s="234">
        <f t="shared" ref="Q1490:U1490" si="1331">Q1491+Q1495</f>
        <v>182472.52</v>
      </c>
      <c r="R1490" s="234">
        <f t="shared" si="1331"/>
        <v>123063.5</v>
      </c>
      <c r="S1490" s="234">
        <f t="shared" si="1331"/>
        <v>200000</v>
      </c>
      <c r="T1490" s="234">
        <f t="shared" si="1331"/>
        <v>0</v>
      </c>
      <c r="U1490" s="234">
        <f t="shared" si="1331"/>
        <v>0</v>
      </c>
      <c r="V1490" s="234">
        <f t="shared" si="1329"/>
        <v>1066836</v>
      </c>
      <c r="W1490" s="234">
        <f t="shared" si="1329"/>
        <v>182472.52</v>
      </c>
      <c r="X1490" s="234">
        <f t="shared" si="1329"/>
        <v>123063.5</v>
      </c>
    </row>
    <row r="1491" spans="1:24" s="229" customFormat="1" ht="38.25" hidden="1">
      <c r="A1491" s="298" t="s">
        <v>286</v>
      </c>
      <c r="B1491" s="227" t="s">
        <v>402</v>
      </c>
      <c r="C1491" s="227" t="s">
        <v>18</v>
      </c>
      <c r="D1491" s="227" t="s">
        <v>13</v>
      </c>
      <c r="E1491" s="227" t="s">
        <v>3</v>
      </c>
      <c r="F1491" s="227" t="s">
        <v>70</v>
      </c>
      <c r="G1491" s="227" t="s">
        <v>148</v>
      </c>
      <c r="H1491" s="227" t="s">
        <v>149</v>
      </c>
      <c r="I1491" s="237"/>
      <c r="J1491" s="238"/>
      <c r="K1491" s="238"/>
      <c r="L1491" s="238"/>
      <c r="M1491" s="238"/>
      <c r="N1491" s="238"/>
      <c r="O1491" s="238"/>
      <c r="P1491" s="238">
        <f>P1492</f>
        <v>686000</v>
      </c>
      <c r="Q1491" s="238">
        <f t="shared" ref="Q1491:U1493" si="1332">Q1492</f>
        <v>0</v>
      </c>
      <c r="R1491" s="238">
        <f t="shared" si="1332"/>
        <v>0</v>
      </c>
      <c r="S1491" s="238">
        <f t="shared" si="1332"/>
        <v>0</v>
      </c>
      <c r="T1491" s="238">
        <f t="shared" si="1332"/>
        <v>0</v>
      </c>
      <c r="U1491" s="238">
        <f t="shared" si="1332"/>
        <v>0</v>
      </c>
      <c r="V1491" s="238">
        <f t="shared" si="1329"/>
        <v>686000</v>
      </c>
      <c r="W1491" s="238">
        <f t="shared" si="1329"/>
        <v>0</v>
      </c>
      <c r="X1491" s="238">
        <f t="shared" si="1329"/>
        <v>0</v>
      </c>
    </row>
    <row r="1492" spans="1:24" s="229" customFormat="1" ht="25.5" hidden="1">
      <c r="A1492" s="268" t="s">
        <v>312</v>
      </c>
      <c r="B1492" s="227" t="s">
        <v>402</v>
      </c>
      <c r="C1492" s="227" t="s">
        <v>18</v>
      </c>
      <c r="D1492" s="227" t="s">
        <v>13</v>
      </c>
      <c r="E1492" s="227" t="s">
        <v>3</v>
      </c>
      <c r="F1492" s="227" t="s">
        <v>70</v>
      </c>
      <c r="G1492" s="227" t="s">
        <v>148</v>
      </c>
      <c r="H1492" s="227" t="s">
        <v>311</v>
      </c>
      <c r="I1492" s="237"/>
      <c r="J1492" s="238"/>
      <c r="K1492" s="238"/>
      <c r="L1492" s="238"/>
      <c r="M1492" s="238"/>
      <c r="N1492" s="238"/>
      <c r="O1492" s="238"/>
      <c r="P1492" s="238">
        <f>P1493</f>
        <v>686000</v>
      </c>
      <c r="Q1492" s="238">
        <f t="shared" si="1332"/>
        <v>0</v>
      </c>
      <c r="R1492" s="238">
        <f t="shared" si="1332"/>
        <v>0</v>
      </c>
      <c r="S1492" s="238">
        <f t="shared" si="1332"/>
        <v>0</v>
      </c>
      <c r="T1492" s="238">
        <f t="shared" si="1332"/>
        <v>0</v>
      </c>
      <c r="U1492" s="238">
        <f t="shared" si="1332"/>
        <v>0</v>
      </c>
      <c r="V1492" s="238">
        <f t="shared" si="1329"/>
        <v>686000</v>
      </c>
      <c r="W1492" s="238">
        <f t="shared" si="1329"/>
        <v>0</v>
      </c>
      <c r="X1492" s="238">
        <f t="shared" si="1329"/>
        <v>0</v>
      </c>
    </row>
    <row r="1493" spans="1:24" s="229" customFormat="1" ht="25.5" hidden="1">
      <c r="A1493" s="240" t="s">
        <v>260</v>
      </c>
      <c r="B1493" s="227" t="s">
        <v>402</v>
      </c>
      <c r="C1493" s="227" t="s">
        <v>18</v>
      </c>
      <c r="D1493" s="227" t="s">
        <v>13</v>
      </c>
      <c r="E1493" s="227" t="s">
        <v>3</v>
      </c>
      <c r="F1493" s="227" t="s">
        <v>70</v>
      </c>
      <c r="G1493" s="227" t="s">
        <v>148</v>
      </c>
      <c r="H1493" s="227" t="s">
        <v>311</v>
      </c>
      <c r="I1493" s="237" t="s">
        <v>94</v>
      </c>
      <c r="J1493" s="238"/>
      <c r="K1493" s="238"/>
      <c r="L1493" s="238"/>
      <c r="M1493" s="238"/>
      <c r="N1493" s="238"/>
      <c r="O1493" s="238"/>
      <c r="P1493" s="238">
        <f>P1494</f>
        <v>686000</v>
      </c>
      <c r="Q1493" s="238">
        <f t="shared" si="1332"/>
        <v>0</v>
      </c>
      <c r="R1493" s="238">
        <f t="shared" si="1332"/>
        <v>0</v>
      </c>
      <c r="S1493" s="238">
        <f t="shared" si="1332"/>
        <v>0</v>
      </c>
      <c r="T1493" s="238">
        <f t="shared" si="1332"/>
        <v>0</v>
      </c>
      <c r="U1493" s="238">
        <f t="shared" si="1332"/>
        <v>0</v>
      </c>
      <c r="V1493" s="238">
        <f t="shared" si="1329"/>
        <v>686000</v>
      </c>
      <c r="W1493" s="238">
        <f t="shared" si="1329"/>
        <v>0</v>
      </c>
      <c r="X1493" s="238">
        <f t="shared" si="1329"/>
        <v>0</v>
      </c>
    </row>
    <row r="1494" spans="1:24" s="229" customFormat="1" ht="25.5" hidden="1">
      <c r="A1494" s="239" t="s">
        <v>98</v>
      </c>
      <c r="B1494" s="227" t="s">
        <v>402</v>
      </c>
      <c r="C1494" s="227" t="s">
        <v>18</v>
      </c>
      <c r="D1494" s="227" t="s">
        <v>13</v>
      </c>
      <c r="E1494" s="227" t="s">
        <v>3</v>
      </c>
      <c r="F1494" s="227" t="s">
        <v>70</v>
      </c>
      <c r="G1494" s="227" t="s">
        <v>148</v>
      </c>
      <c r="H1494" s="227" t="s">
        <v>311</v>
      </c>
      <c r="I1494" s="237" t="s">
        <v>95</v>
      </c>
      <c r="J1494" s="238"/>
      <c r="K1494" s="238"/>
      <c r="L1494" s="238"/>
      <c r="M1494" s="238"/>
      <c r="N1494" s="238"/>
      <c r="O1494" s="238"/>
      <c r="P1494" s="238">
        <v>686000</v>
      </c>
      <c r="Q1494" s="238">
        <f t="shared" ref="Q1494:R1494" si="1333">K1494+N1494</f>
        <v>0</v>
      </c>
      <c r="R1494" s="238">
        <f t="shared" si="1333"/>
        <v>0</v>
      </c>
      <c r="S1494" s="238"/>
      <c r="T1494" s="238"/>
      <c r="U1494" s="238"/>
      <c r="V1494" s="238">
        <f t="shared" si="1329"/>
        <v>686000</v>
      </c>
      <c r="W1494" s="238">
        <f t="shared" si="1329"/>
        <v>0</v>
      </c>
      <c r="X1494" s="238">
        <f t="shared" si="1329"/>
        <v>0</v>
      </c>
    </row>
    <row r="1495" spans="1:24" s="229" customFormat="1" hidden="1">
      <c r="A1495" s="235" t="s">
        <v>83</v>
      </c>
      <c r="B1495" s="227" t="s">
        <v>402</v>
      </c>
      <c r="C1495" s="227" t="s">
        <v>18</v>
      </c>
      <c r="D1495" s="227" t="s">
        <v>13</v>
      </c>
      <c r="E1495" s="227" t="s">
        <v>82</v>
      </c>
      <c r="F1495" s="227" t="s">
        <v>70</v>
      </c>
      <c r="G1495" s="227" t="s">
        <v>148</v>
      </c>
      <c r="H1495" s="227" t="s">
        <v>149</v>
      </c>
      <c r="I1495" s="237"/>
      <c r="J1495" s="238"/>
      <c r="K1495" s="238"/>
      <c r="L1495" s="238"/>
      <c r="M1495" s="238"/>
      <c r="N1495" s="238"/>
      <c r="O1495" s="238"/>
      <c r="P1495" s="238">
        <f>P1496+P1499+P1502</f>
        <v>180836</v>
      </c>
      <c r="Q1495" s="238">
        <f t="shared" ref="Q1495:U1495" si="1334">Q1496+Q1499+Q1502</f>
        <v>182472.52</v>
      </c>
      <c r="R1495" s="238">
        <f t="shared" si="1334"/>
        <v>123063.5</v>
      </c>
      <c r="S1495" s="238">
        <f t="shared" si="1334"/>
        <v>200000</v>
      </c>
      <c r="T1495" s="238">
        <f t="shared" si="1334"/>
        <v>0</v>
      </c>
      <c r="U1495" s="238">
        <f t="shared" si="1334"/>
        <v>0</v>
      </c>
      <c r="V1495" s="238">
        <f t="shared" si="1329"/>
        <v>380836</v>
      </c>
      <c r="W1495" s="238">
        <f t="shared" si="1329"/>
        <v>182472.52</v>
      </c>
      <c r="X1495" s="238">
        <f t="shared" si="1329"/>
        <v>123063.5</v>
      </c>
    </row>
    <row r="1496" spans="1:24" s="229" customFormat="1" ht="14.25" hidden="1">
      <c r="A1496" s="283" t="s">
        <v>362</v>
      </c>
      <c r="B1496" s="227" t="s">
        <v>402</v>
      </c>
      <c r="C1496" s="227" t="s">
        <v>18</v>
      </c>
      <c r="D1496" s="227" t="s">
        <v>13</v>
      </c>
      <c r="E1496" s="227" t="s">
        <v>82</v>
      </c>
      <c r="F1496" s="227" t="s">
        <v>70</v>
      </c>
      <c r="G1496" s="227" t="s">
        <v>148</v>
      </c>
      <c r="H1496" s="227" t="s">
        <v>361</v>
      </c>
      <c r="I1496" s="237"/>
      <c r="J1496" s="238"/>
      <c r="K1496" s="238"/>
      <c r="L1496" s="238"/>
      <c r="M1496" s="238"/>
      <c r="N1496" s="238"/>
      <c r="O1496" s="238"/>
      <c r="P1496" s="238">
        <f>P1497</f>
        <v>14601</v>
      </c>
      <c r="Q1496" s="238">
        <f t="shared" ref="Q1496:U1497" si="1335">Q1497</f>
        <v>14601</v>
      </c>
      <c r="R1496" s="238">
        <f t="shared" si="1335"/>
        <v>14601</v>
      </c>
      <c r="S1496" s="238">
        <f t="shared" si="1335"/>
        <v>0</v>
      </c>
      <c r="T1496" s="238">
        <f t="shared" si="1335"/>
        <v>0</v>
      </c>
      <c r="U1496" s="238">
        <f t="shared" si="1335"/>
        <v>0</v>
      </c>
      <c r="V1496" s="238">
        <f t="shared" si="1329"/>
        <v>14601</v>
      </c>
      <c r="W1496" s="238">
        <f t="shared" si="1329"/>
        <v>14601</v>
      </c>
      <c r="X1496" s="238">
        <f t="shared" si="1329"/>
        <v>14601</v>
      </c>
    </row>
    <row r="1497" spans="1:24" s="229" customFormat="1" ht="25.5" hidden="1">
      <c r="A1497" s="240" t="s">
        <v>260</v>
      </c>
      <c r="B1497" s="227" t="s">
        <v>402</v>
      </c>
      <c r="C1497" s="227" t="s">
        <v>18</v>
      </c>
      <c r="D1497" s="227" t="s">
        <v>13</v>
      </c>
      <c r="E1497" s="227" t="s">
        <v>82</v>
      </c>
      <c r="F1497" s="227" t="s">
        <v>70</v>
      </c>
      <c r="G1497" s="227" t="s">
        <v>148</v>
      </c>
      <c r="H1497" s="227" t="s">
        <v>361</v>
      </c>
      <c r="I1497" s="237" t="s">
        <v>94</v>
      </c>
      <c r="J1497" s="238"/>
      <c r="K1497" s="238"/>
      <c r="L1497" s="238"/>
      <c r="M1497" s="238"/>
      <c r="N1497" s="238"/>
      <c r="O1497" s="238"/>
      <c r="P1497" s="238">
        <f>P1498</f>
        <v>14601</v>
      </c>
      <c r="Q1497" s="238">
        <f t="shared" si="1335"/>
        <v>14601</v>
      </c>
      <c r="R1497" s="238">
        <f t="shared" si="1335"/>
        <v>14601</v>
      </c>
      <c r="S1497" s="238">
        <f t="shared" si="1335"/>
        <v>0</v>
      </c>
      <c r="T1497" s="238">
        <f t="shared" si="1335"/>
        <v>0</v>
      </c>
      <c r="U1497" s="238">
        <f t="shared" si="1335"/>
        <v>0</v>
      </c>
      <c r="V1497" s="238">
        <f t="shared" si="1329"/>
        <v>14601</v>
      </c>
      <c r="W1497" s="238">
        <f t="shared" si="1329"/>
        <v>14601</v>
      </c>
      <c r="X1497" s="238">
        <f t="shared" si="1329"/>
        <v>14601</v>
      </c>
    </row>
    <row r="1498" spans="1:24" s="229" customFormat="1" ht="25.5" hidden="1">
      <c r="A1498" s="239" t="s">
        <v>98</v>
      </c>
      <c r="B1498" s="227" t="s">
        <v>402</v>
      </c>
      <c r="C1498" s="227" t="s">
        <v>18</v>
      </c>
      <c r="D1498" s="227" t="s">
        <v>13</v>
      </c>
      <c r="E1498" s="227" t="s">
        <v>82</v>
      </c>
      <c r="F1498" s="227" t="s">
        <v>70</v>
      </c>
      <c r="G1498" s="227" t="s">
        <v>148</v>
      </c>
      <c r="H1498" s="227" t="s">
        <v>361</v>
      </c>
      <c r="I1498" s="237" t="s">
        <v>95</v>
      </c>
      <c r="J1498" s="238"/>
      <c r="K1498" s="238"/>
      <c r="L1498" s="238"/>
      <c r="M1498" s="238"/>
      <c r="N1498" s="238"/>
      <c r="O1498" s="238"/>
      <c r="P1498" s="238">
        <v>14601</v>
      </c>
      <c r="Q1498" s="238">
        <v>14601</v>
      </c>
      <c r="R1498" s="238">
        <v>14601</v>
      </c>
      <c r="S1498" s="238"/>
      <c r="T1498" s="238"/>
      <c r="U1498" s="238"/>
      <c r="V1498" s="238">
        <f t="shared" si="1329"/>
        <v>14601</v>
      </c>
      <c r="W1498" s="238">
        <f t="shared" si="1329"/>
        <v>14601</v>
      </c>
      <c r="X1498" s="238">
        <f t="shared" si="1329"/>
        <v>14601</v>
      </c>
    </row>
    <row r="1499" spans="1:24" s="229" customFormat="1" hidden="1">
      <c r="A1499" s="239" t="s">
        <v>367</v>
      </c>
      <c r="B1499" s="227" t="s">
        <v>402</v>
      </c>
      <c r="C1499" s="227" t="s">
        <v>18</v>
      </c>
      <c r="D1499" s="227" t="s">
        <v>13</v>
      </c>
      <c r="E1499" s="227" t="s">
        <v>82</v>
      </c>
      <c r="F1499" s="227" t="s">
        <v>70</v>
      </c>
      <c r="G1499" s="227" t="s">
        <v>148</v>
      </c>
      <c r="H1499" s="227" t="s">
        <v>360</v>
      </c>
      <c r="I1499" s="237"/>
      <c r="J1499" s="238"/>
      <c r="K1499" s="238"/>
      <c r="L1499" s="238"/>
      <c r="M1499" s="238"/>
      <c r="N1499" s="238"/>
      <c r="O1499" s="238"/>
      <c r="P1499" s="238">
        <f>P1500</f>
        <v>166235</v>
      </c>
      <c r="Q1499" s="238">
        <f t="shared" ref="Q1499:U1500" si="1336">Q1500</f>
        <v>167871.52</v>
      </c>
      <c r="R1499" s="238">
        <f t="shared" si="1336"/>
        <v>108462.5</v>
      </c>
      <c r="S1499" s="238">
        <f t="shared" si="1336"/>
        <v>0</v>
      </c>
      <c r="T1499" s="238">
        <f t="shared" si="1336"/>
        <v>0</v>
      </c>
      <c r="U1499" s="238">
        <f t="shared" si="1336"/>
        <v>0</v>
      </c>
      <c r="V1499" s="238">
        <f t="shared" si="1329"/>
        <v>166235</v>
      </c>
      <c r="W1499" s="238">
        <f t="shared" si="1329"/>
        <v>167871.52</v>
      </c>
      <c r="X1499" s="238">
        <f t="shared" si="1329"/>
        <v>108462.5</v>
      </c>
    </row>
    <row r="1500" spans="1:24" s="229" customFormat="1" ht="25.5" hidden="1">
      <c r="A1500" s="240" t="s">
        <v>260</v>
      </c>
      <c r="B1500" s="227" t="s">
        <v>402</v>
      </c>
      <c r="C1500" s="227" t="s">
        <v>18</v>
      </c>
      <c r="D1500" s="227" t="s">
        <v>13</v>
      </c>
      <c r="E1500" s="227" t="s">
        <v>82</v>
      </c>
      <c r="F1500" s="227" t="s">
        <v>70</v>
      </c>
      <c r="G1500" s="227" t="s">
        <v>148</v>
      </c>
      <c r="H1500" s="227" t="s">
        <v>360</v>
      </c>
      <c r="I1500" s="237" t="s">
        <v>94</v>
      </c>
      <c r="J1500" s="238"/>
      <c r="K1500" s="238"/>
      <c r="L1500" s="238"/>
      <c r="M1500" s="238"/>
      <c r="N1500" s="238"/>
      <c r="O1500" s="238"/>
      <c r="P1500" s="238">
        <f>P1501</f>
        <v>166235</v>
      </c>
      <c r="Q1500" s="238">
        <f t="shared" si="1336"/>
        <v>167871.52</v>
      </c>
      <c r="R1500" s="238">
        <f t="shared" si="1336"/>
        <v>108462.5</v>
      </c>
      <c r="S1500" s="238">
        <f t="shared" si="1336"/>
        <v>0</v>
      </c>
      <c r="T1500" s="238">
        <f t="shared" si="1336"/>
        <v>0</v>
      </c>
      <c r="U1500" s="238">
        <f t="shared" si="1336"/>
        <v>0</v>
      </c>
      <c r="V1500" s="238">
        <f t="shared" si="1329"/>
        <v>166235</v>
      </c>
      <c r="W1500" s="238">
        <f t="shared" si="1329"/>
        <v>167871.52</v>
      </c>
      <c r="X1500" s="238">
        <f t="shared" si="1329"/>
        <v>108462.5</v>
      </c>
    </row>
    <row r="1501" spans="1:24" s="229" customFormat="1" ht="25.5" hidden="1">
      <c r="A1501" s="239" t="s">
        <v>98</v>
      </c>
      <c r="B1501" s="227" t="s">
        <v>402</v>
      </c>
      <c r="C1501" s="227" t="s">
        <v>18</v>
      </c>
      <c r="D1501" s="227" t="s">
        <v>13</v>
      </c>
      <c r="E1501" s="227" t="s">
        <v>82</v>
      </c>
      <c r="F1501" s="227" t="s">
        <v>70</v>
      </c>
      <c r="G1501" s="227" t="s">
        <v>148</v>
      </c>
      <c r="H1501" s="227" t="s">
        <v>360</v>
      </c>
      <c r="I1501" s="237" t="s">
        <v>95</v>
      </c>
      <c r="J1501" s="238"/>
      <c r="K1501" s="238"/>
      <c r="L1501" s="238"/>
      <c r="M1501" s="238"/>
      <c r="N1501" s="238"/>
      <c r="O1501" s="238"/>
      <c r="P1501" s="238">
        <f>125322+40913</f>
        <v>166235</v>
      </c>
      <c r="Q1501" s="238">
        <f>125412+42459.52</f>
        <v>167871.52</v>
      </c>
      <c r="R1501" s="238">
        <f>64211+44251.5</f>
        <v>108462.5</v>
      </c>
      <c r="S1501" s="238"/>
      <c r="T1501" s="238"/>
      <c r="U1501" s="238"/>
      <c r="V1501" s="238">
        <f t="shared" si="1329"/>
        <v>166235</v>
      </c>
      <c r="W1501" s="238">
        <f t="shared" si="1329"/>
        <v>167871.52</v>
      </c>
      <c r="X1501" s="238">
        <f t="shared" si="1329"/>
        <v>108462.5</v>
      </c>
    </row>
    <row r="1502" spans="1:24" s="229" customFormat="1" hidden="1">
      <c r="A1502" s="241" t="s">
        <v>240</v>
      </c>
      <c r="B1502" s="227" t="s">
        <v>402</v>
      </c>
      <c r="C1502" s="227" t="s">
        <v>18</v>
      </c>
      <c r="D1502" s="227" t="s">
        <v>13</v>
      </c>
      <c r="E1502" s="227" t="s">
        <v>82</v>
      </c>
      <c r="F1502" s="227" t="s">
        <v>70</v>
      </c>
      <c r="G1502" s="227" t="s">
        <v>148</v>
      </c>
      <c r="H1502" s="227" t="s">
        <v>241</v>
      </c>
      <c r="I1502" s="237"/>
      <c r="J1502" s="238"/>
      <c r="K1502" s="238"/>
      <c r="L1502" s="238"/>
      <c r="M1502" s="238"/>
      <c r="N1502" s="238"/>
      <c r="O1502" s="238"/>
      <c r="P1502" s="238">
        <f>P1503</f>
        <v>0</v>
      </c>
      <c r="Q1502" s="238">
        <f t="shared" ref="Q1502:U1503" si="1337">Q1503</f>
        <v>0</v>
      </c>
      <c r="R1502" s="238">
        <f t="shared" si="1337"/>
        <v>0</v>
      </c>
      <c r="S1502" s="238">
        <f t="shared" si="1337"/>
        <v>200000</v>
      </c>
      <c r="T1502" s="238">
        <f t="shared" si="1337"/>
        <v>0</v>
      </c>
      <c r="U1502" s="238">
        <f t="shared" si="1337"/>
        <v>0</v>
      </c>
      <c r="V1502" s="238">
        <f t="shared" ref="V1502:X1504" si="1338">P1502+S1502</f>
        <v>200000</v>
      </c>
      <c r="W1502" s="238">
        <f t="shared" si="1338"/>
        <v>0</v>
      </c>
      <c r="X1502" s="238">
        <f t="shared" si="1338"/>
        <v>0</v>
      </c>
    </row>
    <row r="1503" spans="1:24" s="229" customFormat="1" ht="25.5" hidden="1">
      <c r="A1503" s="240" t="s">
        <v>260</v>
      </c>
      <c r="B1503" s="227" t="s">
        <v>402</v>
      </c>
      <c r="C1503" s="227" t="s">
        <v>18</v>
      </c>
      <c r="D1503" s="227" t="s">
        <v>13</v>
      </c>
      <c r="E1503" s="227" t="s">
        <v>82</v>
      </c>
      <c r="F1503" s="227" t="s">
        <v>70</v>
      </c>
      <c r="G1503" s="227" t="s">
        <v>148</v>
      </c>
      <c r="H1503" s="227" t="s">
        <v>241</v>
      </c>
      <c r="I1503" s="237" t="s">
        <v>94</v>
      </c>
      <c r="J1503" s="238"/>
      <c r="K1503" s="238"/>
      <c r="L1503" s="238"/>
      <c r="M1503" s="238"/>
      <c r="N1503" s="238"/>
      <c r="O1503" s="238"/>
      <c r="P1503" s="238">
        <f>P1504</f>
        <v>0</v>
      </c>
      <c r="Q1503" s="238">
        <f t="shared" si="1337"/>
        <v>0</v>
      </c>
      <c r="R1503" s="238">
        <f t="shared" si="1337"/>
        <v>0</v>
      </c>
      <c r="S1503" s="238">
        <f t="shared" si="1337"/>
        <v>200000</v>
      </c>
      <c r="T1503" s="238">
        <f t="shared" si="1337"/>
        <v>0</v>
      </c>
      <c r="U1503" s="238">
        <f t="shared" si="1337"/>
        <v>0</v>
      </c>
      <c r="V1503" s="238">
        <f t="shared" si="1338"/>
        <v>200000</v>
      </c>
      <c r="W1503" s="238">
        <f t="shared" si="1338"/>
        <v>0</v>
      </c>
      <c r="X1503" s="238">
        <f t="shared" si="1338"/>
        <v>0</v>
      </c>
    </row>
    <row r="1504" spans="1:24" s="229" customFormat="1" ht="25.5" hidden="1">
      <c r="A1504" s="239" t="s">
        <v>98</v>
      </c>
      <c r="B1504" s="227" t="s">
        <v>402</v>
      </c>
      <c r="C1504" s="227" t="s">
        <v>18</v>
      </c>
      <c r="D1504" s="227" t="s">
        <v>13</v>
      </c>
      <c r="E1504" s="227" t="s">
        <v>82</v>
      </c>
      <c r="F1504" s="227" t="s">
        <v>70</v>
      </c>
      <c r="G1504" s="227" t="s">
        <v>148</v>
      </c>
      <c r="H1504" s="227" t="s">
        <v>241</v>
      </c>
      <c r="I1504" s="237" t="s">
        <v>95</v>
      </c>
      <c r="J1504" s="238"/>
      <c r="K1504" s="238"/>
      <c r="L1504" s="238"/>
      <c r="M1504" s="238"/>
      <c r="N1504" s="238"/>
      <c r="O1504" s="238"/>
      <c r="P1504" s="238"/>
      <c r="Q1504" s="238"/>
      <c r="R1504" s="238"/>
      <c r="S1504" s="238">
        <v>200000</v>
      </c>
      <c r="T1504" s="238"/>
      <c r="U1504" s="238"/>
      <c r="V1504" s="238">
        <f t="shared" si="1338"/>
        <v>200000</v>
      </c>
      <c r="W1504" s="238">
        <f t="shared" si="1338"/>
        <v>0</v>
      </c>
      <c r="X1504" s="238">
        <f t="shared" si="1338"/>
        <v>0</v>
      </c>
    </row>
    <row r="1505" spans="1:24" s="222" customFormat="1" ht="15.75" hidden="1">
      <c r="A1505" s="221" t="s">
        <v>466</v>
      </c>
      <c r="P1505" s="223">
        <f t="shared" ref="P1505:X1505" si="1339">P1506+P1526+P1534+P1540+P1550</f>
        <v>9075938.5300000012</v>
      </c>
      <c r="Q1505" s="223">
        <f t="shared" si="1339"/>
        <v>4105174.09</v>
      </c>
      <c r="R1505" s="223">
        <f t="shared" si="1339"/>
        <v>4029893.0599999996</v>
      </c>
      <c r="S1505" s="223">
        <f t="shared" si="1339"/>
        <v>123552.06</v>
      </c>
      <c r="T1505" s="223">
        <f t="shared" si="1339"/>
        <v>0</v>
      </c>
      <c r="U1505" s="223">
        <f t="shared" si="1339"/>
        <v>0</v>
      </c>
      <c r="V1505" s="223">
        <f t="shared" si="1339"/>
        <v>9199490.5899999999</v>
      </c>
      <c r="W1505" s="223">
        <f t="shared" si="1339"/>
        <v>4105174.09</v>
      </c>
      <c r="X1505" s="223">
        <f t="shared" si="1339"/>
        <v>4029893.0599999996</v>
      </c>
    </row>
    <row r="1506" spans="1:24" s="229" customFormat="1" ht="15.75" hidden="1">
      <c r="A1506" s="225" t="s">
        <v>32</v>
      </c>
      <c r="B1506" s="226" t="s">
        <v>402</v>
      </c>
      <c r="C1506" s="226" t="s">
        <v>20</v>
      </c>
      <c r="D1506" s="227"/>
      <c r="E1506" s="227"/>
      <c r="F1506" s="227"/>
      <c r="G1506" s="227"/>
      <c r="H1506" s="227"/>
      <c r="I1506" s="227"/>
      <c r="J1506" s="228"/>
      <c r="K1506" s="228"/>
      <c r="L1506" s="228"/>
      <c r="M1506" s="228"/>
      <c r="N1506" s="228"/>
      <c r="O1506" s="228"/>
      <c r="P1506" s="228">
        <f t="shared" ref="P1506:U1506" si="1340">P1507+P1516</f>
        <v>3717851.81</v>
      </c>
      <c r="Q1506" s="228">
        <f t="shared" si="1340"/>
        <v>3603110.65</v>
      </c>
      <c r="R1506" s="228">
        <f t="shared" si="1340"/>
        <v>3584469.1999999997</v>
      </c>
      <c r="S1506" s="228">
        <f t="shared" si="1340"/>
        <v>123552.06</v>
      </c>
      <c r="T1506" s="228">
        <f t="shared" si="1340"/>
        <v>0</v>
      </c>
      <c r="U1506" s="228">
        <f t="shared" si="1340"/>
        <v>0</v>
      </c>
      <c r="V1506" s="228">
        <f t="shared" ref="V1506:X1521" si="1341">P1506+S1506</f>
        <v>3841403.87</v>
      </c>
      <c r="W1506" s="228">
        <f t="shared" si="1341"/>
        <v>3603110.65</v>
      </c>
      <c r="X1506" s="228">
        <f t="shared" si="1341"/>
        <v>3584469.1999999997</v>
      </c>
    </row>
    <row r="1507" spans="1:24" s="229" customFormat="1" ht="38.25" hidden="1">
      <c r="A1507" s="230" t="s">
        <v>0</v>
      </c>
      <c r="B1507" s="231" t="s">
        <v>402</v>
      </c>
      <c r="C1507" s="231" t="s">
        <v>20</v>
      </c>
      <c r="D1507" s="231" t="s">
        <v>16</v>
      </c>
      <c r="E1507" s="231"/>
      <c r="F1507" s="231"/>
      <c r="G1507" s="231"/>
      <c r="H1507" s="227"/>
      <c r="I1507" s="237"/>
      <c r="J1507" s="234"/>
      <c r="K1507" s="234"/>
      <c r="L1507" s="234"/>
      <c r="M1507" s="234"/>
      <c r="N1507" s="234"/>
      <c r="O1507" s="234"/>
      <c r="P1507" s="234">
        <f>P1508</f>
        <v>3564064</v>
      </c>
      <c r="Q1507" s="234">
        <f t="shared" ref="Q1507:U1508" si="1342">Q1508</f>
        <v>3603110.65</v>
      </c>
      <c r="R1507" s="234">
        <f t="shared" si="1342"/>
        <v>3584469.1999999997</v>
      </c>
      <c r="S1507" s="234">
        <f t="shared" si="1342"/>
        <v>0</v>
      </c>
      <c r="T1507" s="234">
        <f t="shared" si="1342"/>
        <v>0</v>
      </c>
      <c r="U1507" s="234">
        <f t="shared" si="1342"/>
        <v>0</v>
      </c>
      <c r="V1507" s="234">
        <f t="shared" si="1341"/>
        <v>3564064</v>
      </c>
      <c r="W1507" s="234">
        <f t="shared" si="1341"/>
        <v>3603110.65</v>
      </c>
      <c r="X1507" s="234">
        <f t="shared" si="1341"/>
        <v>3584469.1999999997</v>
      </c>
    </row>
    <row r="1508" spans="1:24" s="229" customFormat="1" hidden="1">
      <c r="A1508" s="235" t="s">
        <v>83</v>
      </c>
      <c r="B1508" s="227" t="s">
        <v>402</v>
      </c>
      <c r="C1508" s="227" t="s">
        <v>20</v>
      </c>
      <c r="D1508" s="227" t="s">
        <v>16</v>
      </c>
      <c r="E1508" s="227" t="s">
        <v>82</v>
      </c>
      <c r="F1508" s="227" t="s">
        <v>70</v>
      </c>
      <c r="G1508" s="227" t="s">
        <v>148</v>
      </c>
      <c r="H1508" s="227" t="s">
        <v>149</v>
      </c>
      <c r="I1508" s="237"/>
      <c r="J1508" s="238"/>
      <c r="K1508" s="238"/>
      <c r="L1508" s="238"/>
      <c r="M1508" s="238"/>
      <c r="N1508" s="238"/>
      <c r="O1508" s="238"/>
      <c r="P1508" s="238">
        <f>P1509</f>
        <v>3564064</v>
      </c>
      <c r="Q1508" s="238">
        <f t="shared" si="1342"/>
        <v>3603110.65</v>
      </c>
      <c r="R1508" s="238">
        <f t="shared" si="1342"/>
        <v>3584469.1999999997</v>
      </c>
      <c r="S1508" s="238">
        <f t="shared" si="1342"/>
        <v>0</v>
      </c>
      <c r="T1508" s="238">
        <f t="shared" si="1342"/>
        <v>0</v>
      </c>
      <c r="U1508" s="238">
        <f t="shared" si="1342"/>
        <v>0</v>
      </c>
      <c r="V1508" s="238">
        <f t="shared" si="1341"/>
        <v>3564064</v>
      </c>
      <c r="W1508" s="238">
        <f t="shared" si="1341"/>
        <v>3603110.65</v>
      </c>
      <c r="X1508" s="238">
        <f t="shared" si="1341"/>
        <v>3584469.1999999997</v>
      </c>
    </row>
    <row r="1509" spans="1:24" s="229" customFormat="1" ht="25.5" hidden="1">
      <c r="A1509" s="235" t="s">
        <v>87</v>
      </c>
      <c r="B1509" s="227" t="s">
        <v>402</v>
      </c>
      <c r="C1509" s="227" t="s">
        <v>20</v>
      </c>
      <c r="D1509" s="227" t="s">
        <v>16</v>
      </c>
      <c r="E1509" s="227" t="s">
        <v>82</v>
      </c>
      <c r="F1509" s="227" t="s">
        <v>70</v>
      </c>
      <c r="G1509" s="227" t="s">
        <v>148</v>
      </c>
      <c r="H1509" s="227" t="s">
        <v>158</v>
      </c>
      <c r="I1509" s="237"/>
      <c r="J1509" s="238"/>
      <c r="K1509" s="238"/>
      <c r="L1509" s="238"/>
      <c r="M1509" s="238"/>
      <c r="N1509" s="238"/>
      <c r="O1509" s="238"/>
      <c r="P1509" s="238">
        <f>P1510+P1512+P1514</f>
        <v>3564064</v>
      </c>
      <c r="Q1509" s="238">
        <f t="shared" ref="Q1509:U1509" si="1343">Q1510+Q1512+Q1514</f>
        <v>3603110.65</v>
      </c>
      <c r="R1509" s="238">
        <f t="shared" si="1343"/>
        <v>3584469.1999999997</v>
      </c>
      <c r="S1509" s="238">
        <f t="shared" si="1343"/>
        <v>0</v>
      </c>
      <c r="T1509" s="238">
        <f t="shared" si="1343"/>
        <v>0</v>
      </c>
      <c r="U1509" s="238">
        <f t="shared" si="1343"/>
        <v>0</v>
      </c>
      <c r="V1509" s="238">
        <f t="shared" si="1341"/>
        <v>3564064</v>
      </c>
      <c r="W1509" s="238">
        <f t="shared" si="1341"/>
        <v>3603110.65</v>
      </c>
      <c r="X1509" s="238">
        <f t="shared" si="1341"/>
        <v>3584469.1999999997</v>
      </c>
    </row>
    <row r="1510" spans="1:24" s="229" customFormat="1" ht="38.25" hidden="1">
      <c r="A1510" s="239" t="s">
        <v>96</v>
      </c>
      <c r="B1510" s="227" t="s">
        <v>402</v>
      </c>
      <c r="C1510" s="227" t="s">
        <v>20</v>
      </c>
      <c r="D1510" s="227" t="s">
        <v>16</v>
      </c>
      <c r="E1510" s="227" t="s">
        <v>82</v>
      </c>
      <c r="F1510" s="227" t="s">
        <v>70</v>
      </c>
      <c r="G1510" s="227" t="s">
        <v>148</v>
      </c>
      <c r="H1510" s="227" t="s">
        <v>158</v>
      </c>
      <c r="I1510" s="237" t="s">
        <v>92</v>
      </c>
      <c r="J1510" s="238"/>
      <c r="K1510" s="238"/>
      <c r="L1510" s="238"/>
      <c r="M1510" s="238"/>
      <c r="N1510" s="238"/>
      <c r="O1510" s="238"/>
      <c r="P1510" s="238">
        <f>P1511</f>
        <v>3274819</v>
      </c>
      <c r="Q1510" s="238">
        <f t="shared" ref="Q1510:U1510" si="1344">Q1511</f>
        <v>3306491.85</v>
      </c>
      <c r="R1510" s="238">
        <f t="shared" si="1344"/>
        <v>3308481.65</v>
      </c>
      <c r="S1510" s="238">
        <f t="shared" si="1344"/>
        <v>0</v>
      </c>
      <c r="T1510" s="238">
        <f t="shared" si="1344"/>
        <v>0</v>
      </c>
      <c r="U1510" s="238">
        <f t="shared" si="1344"/>
        <v>0</v>
      </c>
      <c r="V1510" s="238">
        <f t="shared" si="1341"/>
        <v>3274819</v>
      </c>
      <c r="W1510" s="238">
        <f t="shared" si="1341"/>
        <v>3306491.85</v>
      </c>
      <c r="X1510" s="238">
        <f t="shared" si="1341"/>
        <v>3308481.65</v>
      </c>
    </row>
    <row r="1511" spans="1:24" s="229" customFormat="1" hidden="1">
      <c r="A1511" s="239" t="s">
        <v>103</v>
      </c>
      <c r="B1511" s="227" t="s">
        <v>402</v>
      </c>
      <c r="C1511" s="227" t="s">
        <v>20</v>
      </c>
      <c r="D1511" s="227" t="s">
        <v>16</v>
      </c>
      <c r="E1511" s="227" t="s">
        <v>82</v>
      </c>
      <c r="F1511" s="227" t="s">
        <v>70</v>
      </c>
      <c r="G1511" s="227" t="s">
        <v>148</v>
      </c>
      <c r="H1511" s="227" t="s">
        <v>158</v>
      </c>
      <c r="I1511" s="237" t="s">
        <v>102</v>
      </c>
      <c r="J1511" s="238"/>
      <c r="K1511" s="238"/>
      <c r="L1511" s="238"/>
      <c r="M1511" s="238"/>
      <c r="N1511" s="238"/>
      <c r="O1511" s="238"/>
      <c r="P1511" s="238">
        <f>2432647+107512+734660</f>
        <v>3274819</v>
      </c>
      <c r="Q1511" s="238">
        <f>2456970+107512+742009.85</f>
        <v>3306491.85</v>
      </c>
      <c r="R1511" s="238">
        <f>2481543.5+77512+749426.15</f>
        <v>3308481.65</v>
      </c>
      <c r="S1511" s="238"/>
      <c r="T1511" s="238"/>
      <c r="U1511" s="238"/>
      <c r="V1511" s="238">
        <f t="shared" si="1341"/>
        <v>3274819</v>
      </c>
      <c r="W1511" s="238">
        <f t="shared" si="1341"/>
        <v>3306491.85</v>
      </c>
      <c r="X1511" s="238">
        <f t="shared" si="1341"/>
        <v>3308481.65</v>
      </c>
    </row>
    <row r="1512" spans="1:24" s="229" customFormat="1" ht="25.5" hidden="1">
      <c r="A1512" s="240" t="s">
        <v>260</v>
      </c>
      <c r="B1512" s="227" t="s">
        <v>402</v>
      </c>
      <c r="C1512" s="227" t="s">
        <v>20</v>
      </c>
      <c r="D1512" s="227" t="s">
        <v>16</v>
      </c>
      <c r="E1512" s="227" t="s">
        <v>82</v>
      </c>
      <c r="F1512" s="227" t="s">
        <v>70</v>
      </c>
      <c r="G1512" s="227" t="s">
        <v>148</v>
      </c>
      <c r="H1512" s="227" t="s">
        <v>158</v>
      </c>
      <c r="I1512" s="237" t="s">
        <v>94</v>
      </c>
      <c r="J1512" s="238"/>
      <c r="K1512" s="238"/>
      <c r="L1512" s="238"/>
      <c r="M1512" s="238"/>
      <c r="N1512" s="238"/>
      <c r="O1512" s="238"/>
      <c r="P1512" s="238">
        <f>P1513</f>
        <v>284545</v>
      </c>
      <c r="Q1512" s="238">
        <f t="shared" ref="Q1512:U1512" si="1345">Q1513</f>
        <v>291918.8</v>
      </c>
      <c r="R1512" s="238">
        <f t="shared" si="1345"/>
        <v>271287.55</v>
      </c>
      <c r="S1512" s="238">
        <f t="shared" si="1345"/>
        <v>0</v>
      </c>
      <c r="T1512" s="238">
        <f t="shared" si="1345"/>
        <v>0</v>
      </c>
      <c r="U1512" s="238">
        <f t="shared" si="1345"/>
        <v>0</v>
      </c>
      <c r="V1512" s="238">
        <f t="shared" si="1341"/>
        <v>284545</v>
      </c>
      <c r="W1512" s="238">
        <f t="shared" si="1341"/>
        <v>291918.8</v>
      </c>
      <c r="X1512" s="238">
        <f t="shared" si="1341"/>
        <v>271287.55</v>
      </c>
    </row>
    <row r="1513" spans="1:24" s="229" customFormat="1" ht="25.5" hidden="1">
      <c r="A1513" s="239" t="s">
        <v>98</v>
      </c>
      <c r="B1513" s="227" t="s">
        <v>402</v>
      </c>
      <c r="C1513" s="227" t="s">
        <v>20</v>
      </c>
      <c r="D1513" s="227" t="s">
        <v>16</v>
      </c>
      <c r="E1513" s="227" t="s">
        <v>82</v>
      </c>
      <c r="F1513" s="227" t="s">
        <v>70</v>
      </c>
      <c r="G1513" s="227" t="s">
        <v>148</v>
      </c>
      <c r="H1513" s="227" t="s">
        <v>158</v>
      </c>
      <c r="I1513" s="237" t="s">
        <v>95</v>
      </c>
      <c r="J1513" s="238"/>
      <c r="K1513" s="238"/>
      <c r="L1513" s="238"/>
      <c r="M1513" s="238"/>
      <c r="N1513" s="238"/>
      <c r="O1513" s="238"/>
      <c r="P1513" s="238">
        <f>274747+9798</f>
        <v>284545</v>
      </c>
      <c r="Q1513" s="238">
        <f>281538.8+10380</f>
        <v>291918.8</v>
      </c>
      <c r="R1513" s="238">
        <f>71900+199387.55</f>
        <v>271287.55</v>
      </c>
      <c r="S1513" s="238"/>
      <c r="T1513" s="238"/>
      <c r="U1513" s="238"/>
      <c r="V1513" s="238">
        <f t="shared" si="1341"/>
        <v>284545</v>
      </c>
      <c r="W1513" s="238">
        <f t="shared" si="1341"/>
        <v>291918.8</v>
      </c>
      <c r="X1513" s="238">
        <f t="shared" si="1341"/>
        <v>271287.55</v>
      </c>
    </row>
    <row r="1514" spans="1:24" s="229" customFormat="1" hidden="1">
      <c r="A1514" s="239" t="s">
        <v>80</v>
      </c>
      <c r="B1514" s="227" t="s">
        <v>402</v>
      </c>
      <c r="C1514" s="227" t="s">
        <v>20</v>
      </c>
      <c r="D1514" s="227" t="s">
        <v>16</v>
      </c>
      <c r="E1514" s="227" t="s">
        <v>82</v>
      </c>
      <c r="F1514" s="227" t="s">
        <v>70</v>
      </c>
      <c r="G1514" s="227" t="s">
        <v>148</v>
      </c>
      <c r="H1514" s="227" t="s">
        <v>158</v>
      </c>
      <c r="I1514" s="237" t="s">
        <v>77</v>
      </c>
      <c r="J1514" s="238"/>
      <c r="K1514" s="238"/>
      <c r="L1514" s="238"/>
      <c r="M1514" s="238"/>
      <c r="N1514" s="238"/>
      <c r="O1514" s="238"/>
      <c r="P1514" s="238">
        <f>P1515</f>
        <v>4700</v>
      </c>
      <c r="Q1514" s="238">
        <f t="shared" ref="Q1514:U1514" si="1346">Q1515</f>
        <v>4700</v>
      </c>
      <c r="R1514" s="238">
        <f t="shared" si="1346"/>
        <v>4700</v>
      </c>
      <c r="S1514" s="238">
        <f t="shared" si="1346"/>
        <v>0</v>
      </c>
      <c r="T1514" s="238">
        <f t="shared" si="1346"/>
        <v>0</v>
      </c>
      <c r="U1514" s="238">
        <f t="shared" si="1346"/>
        <v>0</v>
      </c>
      <c r="V1514" s="238">
        <f t="shared" si="1341"/>
        <v>4700</v>
      </c>
      <c r="W1514" s="238">
        <f t="shared" si="1341"/>
        <v>4700</v>
      </c>
      <c r="X1514" s="238">
        <f t="shared" si="1341"/>
        <v>4700</v>
      </c>
    </row>
    <row r="1515" spans="1:24" s="229" customFormat="1" hidden="1">
      <c r="A1515" s="241" t="s">
        <v>125</v>
      </c>
      <c r="B1515" s="227" t="s">
        <v>402</v>
      </c>
      <c r="C1515" s="227" t="s">
        <v>20</v>
      </c>
      <c r="D1515" s="227" t="s">
        <v>16</v>
      </c>
      <c r="E1515" s="227" t="s">
        <v>82</v>
      </c>
      <c r="F1515" s="227" t="s">
        <v>70</v>
      </c>
      <c r="G1515" s="227" t="s">
        <v>148</v>
      </c>
      <c r="H1515" s="227" t="s">
        <v>158</v>
      </c>
      <c r="I1515" s="237" t="s">
        <v>124</v>
      </c>
      <c r="J1515" s="238"/>
      <c r="K1515" s="238"/>
      <c r="L1515" s="238"/>
      <c r="M1515" s="238"/>
      <c r="N1515" s="238"/>
      <c r="O1515" s="238"/>
      <c r="P1515" s="238">
        <f>288+4412</f>
        <v>4700</v>
      </c>
      <c r="Q1515" s="238">
        <v>4700</v>
      </c>
      <c r="R1515" s="238">
        <v>4700</v>
      </c>
      <c r="S1515" s="238"/>
      <c r="T1515" s="238"/>
      <c r="U1515" s="238"/>
      <c r="V1515" s="238">
        <f t="shared" si="1341"/>
        <v>4700</v>
      </c>
      <c r="W1515" s="238">
        <f t="shared" si="1341"/>
        <v>4700</v>
      </c>
      <c r="X1515" s="238">
        <f t="shared" si="1341"/>
        <v>4700</v>
      </c>
    </row>
    <row r="1516" spans="1:24" s="229" customFormat="1" hidden="1">
      <c r="A1516" s="230" t="s">
        <v>1</v>
      </c>
      <c r="B1516" s="231" t="s">
        <v>402</v>
      </c>
      <c r="C1516" s="231" t="s">
        <v>20</v>
      </c>
      <c r="D1516" s="231" t="s">
        <v>49</v>
      </c>
      <c r="E1516" s="231"/>
      <c r="F1516" s="231"/>
      <c r="G1516" s="231"/>
      <c r="H1516" s="227"/>
      <c r="I1516" s="237"/>
      <c r="J1516" s="234"/>
      <c r="K1516" s="234"/>
      <c r="L1516" s="234"/>
      <c r="M1516" s="234"/>
      <c r="N1516" s="234"/>
      <c r="O1516" s="234"/>
      <c r="P1516" s="234">
        <f>P1517+P1522</f>
        <v>153787.81</v>
      </c>
      <c r="Q1516" s="234">
        <f t="shared" ref="Q1516:U1516" si="1347">Q1517+Q1522</f>
        <v>0</v>
      </c>
      <c r="R1516" s="234">
        <f t="shared" si="1347"/>
        <v>0</v>
      </c>
      <c r="S1516" s="234">
        <f t="shared" si="1347"/>
        <v>123552.06</v>
      </c>
      <c r="T1516" s="234">
        <f t="shared" si="1347"/>
        <v>0</v>
      </c>
      <c r="U1516" s="234">
        <f t="shared" si="1347"/>
        <v>0</v>
      </c>
      <c r="V1516" s="234">
        <f t="shared" si="1341"/>
        <v>277339.87</v>
      </c>
      <c r="W1516" s="234">
        <f t="shared" si="1341"/>
        <v>0</v>
      </c>
      <c r="X1516" s="234">
        <f t="shared" si="1341"/>
        <v>0</v>
      </c>
    </row>
    <row r="1517" spans="1:24" s="229" customFormat="1" ht="38.25" hidden="1">
      <c r="A1517" s="241" t="s">
        <v>294</v>
      </c>
      <c r="B1517" s="247" t="s">
        <v>402</v>
      </c>
      <c r="C1517" s="247" t="s">
        <v>20</v>
      </c>
      <c r="D1517" s="247" t="s">
        <v>49</v>
      </c>
      <c r="E1517" s="227" t="s">
        <v>19</v>
      </c>
      <c r="F1517" s="227" t="s">
        <v>70</v>
      </c>
      <c r="G1517" s="227" t="s">
        <v>148</v>
      </c>
      <c r="H1517" s="247" t="s">
        <v>149</v>
      </c>
      <c r="I1517" s="248"/>
      <c r="J1517" s="238"/>
      <c r="K1517" s="238"/>
      <c r="L1517" s="238"/>
      <c r="M1517" s="238"/>
      <c r="N1517" s="238"/>
      <c r="O1517" s="238"/>
      <c r="P1517" s="238">
        <f>P1518</f>
        <v>153787.81</v>
      </c>
      <c r="Q1517" s="238">
        <f t="shared" ref="Q1517:U1520" si="1348">Q1518</f>
        <v>0</v>
      </c>
      <c r="R1517" s="238">
        <f t="shared" si="1348"/>
        <v>0</v>
      </c>
      <c r="S1517" s="238">
        <f t="shared" si="1348"/>
        <v>33758.300000000003</v>
      </c>
      <c r="T1517" s="238">
        <f t="shared" si="1348"/>
        <v>0</v>
      </c>
      <c r="U1517" s="238">
        <f t="shared" si="1348"/>
        <v>0</v>
      </c>
      <c r="V1517" s="238">
        <f t="shared" si="1341"/>
        <v>187546.11</v>
      </c>
      <c r="W1517" s="238">
        <f t="shared" si="1341"/>
        <v>0</v>
      </c>
      <c r="X1517" s="238">
        <f t="shared" si="1341"/>
        <v>0</v>
      </c>
    </row>
    <row r="1518" spans="1:24" s="229" customFormat="1" ht="25.5" hidden="1">
      <c r="A1518" s="241" t="s">
        <v>296</v>
      </c>
      <c r="B1518" s="247" t="s">
        <v>402</v>
      </c>
      <c r="C1518" s="247" t="s">
        <v>20</v>
      </c>
      <c r="D1518" s="247" t="s">
        <v>49</v>
      </c>
      <c r="E1518" s="227" t="s">
        <v>19</v>
      </c>
      <c r="F1518" s="227" t="s">
        <v>127</v>
      </c>
      <c r="G1518" s="227" t="s">
        <v>148</v>
      </c>
      <c r="H1518" s="247" t="s">
        <v>149</v>
      </c>
      <c r="I1518" s="248"/>
      <c r="J1518" s="238"/>
      <c r="K1518" s="238"/>
      <c r="L1518" s="238"/>
      <c r="M1518" s="238"/>
      <c r="N1518" s="238"/>
      <c r="O1518" s="238"/>
      <c r="P1518" s="238">
        <f>P1519</f>
        <v>153787.81</v>
      </c>
      <c r="Q1518" s="238">
        <f t="shared" si="1348"/>
        <v>0</v>
      </c>
      <c r="R1518" s="238">
        <f t="shared" si="1348"/>
        <v>0</v>
      </c>
      <c r="S1518" s="238">
        <f t="shared" si="1348"/>
        <v>33758.300000000003</v>
      </c>
      <c r="T1518" s="238">
        <f t="shared" si="1348"/>
        <v>0</v>
      </c>
      <c r="U1518" s="238">
        <f t="shared" si="1348"/>
        <v>0</v>
      </c>
      <c r="V1518" s="238">
        <f t="shared" si="1341"/>
        <v>187546.11</v>
      </c>
      <c r="W1518" s="238">
        <f t="shared" si="1341"/>
        <v>0</v>
      </c>
      <c r="X1518" s="238">
        <f t="shared" si="1341"/>
        <v>0</v>
      </c>
    </row>
    <row r="1519" spans="1:24" s="229" customFormat="1" ht="51" hidden="1">
      <c r="A1519" s="241" t="s">
        <v>299</v>
      </c>
      <c r="B1519" s="247" t="s">
        <v>402</v>
      </c>
      <c r="C1519" s="247" t="s">
        <v>20</v>
      </c>
      <c r="D1519" s="247" t="s">
        <v>49</v>
      </c>
      <c r="E1519" s="227" t="s">
        <v>19</v>
      </c>
      <c r="F1519" s="227" t="s">
        <v>127</v>
      </c>
      <c r="G1519" s="227" t="s">
        <v>148</v>
      </c>
      <c r="H1519" s="247" t="s">
        <v>298</v>
      </c>
      <c r="I1519" s="248"/>
      <c r="J1519" s="238"/>
      <c r="K1519" s="238"/>
      <c r="L1519" s="238"/>
      <c r="M1519" s="238"/>
      <c r="N1519" s="238"/>
      <c r="O1519" s="238"/>
      <c r="P1519" s="238">
        <f>P1520</f>
        <v>153787.81</v>
      </c>
      <c r="Q1519" s="238">
        <f t="shared" si="1348"/>
        <v>0</v>
      </c>
      <c r="R1519" s="238">
        <f t="shared" si="1348"/>
        <v>0</v>
      </c>
      <c r="S1519" s="238">
        <f t="shared" si="1348"/>
        <v>33758.300000000003</v>
      </c>
      <c r="T1519" s="238">
        <f t="shared" si="1348"/>
        <v>0</v>
      </c>
      <c r="U1519" s="238">
        <f t="shared" si="1348"/>
        <v>0</v>
      </c>
      <c r="V1519" s="238">
        <f t="shared" si="1341"/>
        <v>187546.11</v>
      </c>
      <c r="W1519" s="238">
        <f t="shared" si="1341"/>
        <v>0</v>
      </c>
      <c r="X1519" s="238">
        <f t="shared" si="1341"/>
        <v>0</v>
      </c>
    </row>
    <row r="1520" spans="1:24" s="229" customFormat="1" hidden="1">
      <c r="A1520" s="235" t="s">
        <v>100</v>
      </c>
      <c r="B1520" s="247" t="s">
        <v>402</v>
      </c>
      <c r="C1520" s="247" t="s">
        <v>20</v>
      </c>
      <c r="D1520" s="247" t="s">
        <v>49</v>
      </c>
      <c r="E1520" s="227" t="s">
        <v>19</v>
      </c>
      <c r="F1520" s="227" t="s">
        <v>127</v>
      </c>
      <c r="G1520" s="227" t="s">
        <v>148</v>
      </c>
      <c r="H1520" s="247" t="s">
        <v>298</v>
      </c>
      <c r="I1520" s="248" t="s">
        <v>99</v>
      </c>
      <c r="J1520" s="238"/>
      <c r="K1520" s="238"/>
      <c r="L1520" s="238"/>
      <c r="M1520" s="238"/>
      <c r="N1520" s="238"/>
      <c r="O1520" s="238"/>
      <c r="P1520" s="238">
        <f>P1521</f>
        <v>153787.81</v>
      </c>
      <c r="Q1520" s="238">
        <f t="shared" si="1348"/>
        <v>0</v>
      </c>
      <c r="R1520" s="238">
        <f t="shared" si="1348"/>
        <v>0</v>
      </c>
      <c r="S1520" s="238">
        <f t="shared" si="1348"/>
        <v>33758.300000000003</v>
      </c>
      <c r="T1520" s="238">
        <f t="shared" si="1348"/>
        <v>0</v>
      </c>
      <c r="U1520" s="238">
        <f t="shared" si="1348"/>
        <v>0</v>
      </c>
      <c r="V1520" s="238">
        <f t="shared" si="1341"/>
        <v>187546.11</v>
      </c>
      <c r="W1520" s="238">
        <f t="shared" si="1341"/>
        <v>0</v>
      </c>
      <c r="X1520" s="238">
        <f t="shared" si="1341"/>
        <v>0</v>
      </c>
    </row>
    <row r="1521" spans="1:24" s="229" customFormat="1" ht="25.5" hidden="1">
      <c r="A1521" s="235" t="s">
        <v>106</v>
      </c>
      <c r="B1521" s="247" t="s">
        <v>402</v>
      </c>
      <c r="C1521" s="247" t="s">
        <v>20</v>
      </c>
      <c r="D1521" s="247" t="s">
        <v>49</v>
      </c>
      <c r="E1521" s="227" t="s">
        <v>19</v>
      </c>
      <c r="F1521" s="227" t="s">
        <v>127</v>
      </c>
      <c r="G1521" s="227" t="s">
        <v>148</v>
      </c>
      <c r="H1521" s="247" t="s">
        <v>298</v>
      </c>
      <c r="I1521" s="248" t="s">
        <v>107</v>
      </c>
      <c r="J1521" s="238"/>
      <c r="K1521" s="238"/>
      <c r="L1521" s="238"/>
      <c r="M1521" s="238"/>
      <c r="N1521" s="238"/>
      <c r="O1521" s="238"/>
      <c r="P1521" s="238">
        <v>153787.81</v>
      </c>
      <c r="Q1521" s="238">
        <f t="shared" ref="Q1521:R1521" si="1349">K1521+N1521</f>
        <v>0</v>
      </c>
      <c r="R1521" s="238">
        <f t="shared" si="1349"/>
        <v>0</v>
      </c>
      <c r="S1521" s="238">
        <v>33758.300000000003</v>
      </c>
      <c r="T1521" s="238"/>
      <c r="U1521" s="238"/>
      <c r="V1521" s="238">
        <f t="shared" si="1341"/>
        <v>187546.11</v>
      </c>
      <c r="W1521" s="238">
        <f t="shared" si="1341"/>
        <v>0</v>
      </c>
      <c r="X1521" s="238">
        <f t="shared" si="1341"/>
        <v>0</v>
      </c>
    </row>
    <row r="1522" spans="1:24" s="229" customFormat="1" hidden="1">
      <c r="A1522" s="235" t="s">
        <v>83</v>
      </c>
      <c r="B1522" s="227" t="s">
        <v>402</v>
      </c>
      <c r="C1522" s="227" t="s">
        <v>20</v>
      </c>
      <c r="D1522" s="227" t="s">
        <v>49</v>
      </c>
      <c r="E1522" s="227" t="s">
        <v>82</v>
      </c>
      <c r="F1522" s="227" t="s">
        <v>70</v>
      </c>
      <c r="G1522" s="227" t="s">
        <v>148</v>
      </c>
      <c r="H1522" s="227" t="s">
        <v>149</v>
      </c>
      <c r="I1522" s="237"/>
      <c r="J1522" s="238"/>
      <c r="K1522" s="238"/>
      <c r="L1522" s="238"/>
      <c r="M1522" s="238"/>
      <c r="N1522" s="238"/>
      <c r="O1522" s="238"/>
      <c r="P1522" s="238">
        <f>P1523</f>
        <v>0</v>
      </c>
      <c r="Q1522" s="238">
        <f t="shared" ref="Q1522:U1524" si="1350">Q1523</f>
        <v>0</v>
      </c>
      <c r="R1522" s="238">
        <f t="shared" si="1350"/>
        <v>0</v>
      </c>
      <c r="S1522" s="238">
        <f t="shared" si="1350"/>
        <v>89793.76</v>
      </c>
      <c r="T1522" s="238">
        <f t="shared" si="1350"/>
        <v>0</v>
      </c>
      <c r="U1522" s="238">
        <f t="shared" si="1350"/>
        <v>0</v>
      </c>
      <c r="V1522" s="238">
        <f t="shared" ref="V1522:X1537" si="1351">P1522+S1522</f>
        <v>89793.76</v>
      </c>
      <c r="W1522" s="238">
        <f t="shared" si="1351"/>
        <v>0</v>
      </c>
      <c r="X1522" s="238">
        <f t="shared" si="1351"/>
        <v>0</v>
      </c>
    </row>
    <row r="1523" spans="1:24" s="229" customFormat="1" hidden="1">
      <c r="A1523" s="241" t="s">
        <v>332</v>
      </c>
      <c r="B1523" s="247" t="s">
        <v>402</v>
      </c>
      <c r="C1523" s="247" t="s">
        <v>20</v>
      </c>
      <c r="D1523" s="247" t="s">
        <v>49</v>
      </c>
      <c r="E1523" s="227" t="s">
        <v>82</v>
      </c>
      <c r="F1523" s="227" t="s">
        <v>70</v>
      </c>
      <c r="G1523" s="227" t="s">
        <v>148</v>
      </c>
      <c r="H1523" s="247" t="s">
        <v>185</v>
      </c>
      <c r="I1523" s="248"/>
      <c r="J1523" s="238"/>
      <c r="K1523" s="238"/>
      <c r="L1523" s="238"/>
      <c r="M1523" s="238"/>
      <c r="N1523" s="238"/>
      <c r="O1523" s="238"/>
      <c r="P1523" s="238">
        <f>P1524</f>
        <v>0</v>
      </c>
      <c r="Q1523" s="238">
        <f t="shared" si="1350"/>
        <v>0</v>
      </c>
      <c r="R1523" s="238">
        <f t="shared" si="1350"/>
        <v>0</v>
      </c>
      <c r="S1523" s="238">
        <f>S1524</f>
        <v>89793.76</v>
      </c>
      <c r="T1523" s="238">
        <f t="shared" si="1350"/>
        <v>0</v>
      </c>
      <c r="U1523" s="238">
        <f t="shared" si="1350"/>
        <v>0</v>
      </c>
      <c r="V1523" s="238">
        <f t="shared" si="1351"/>
        <v>89793.76</v>
      </c>
      <c r="W1523" s="238">
        <f t="shared" si="1351"/>
        <v>0</v>
      </c>
      <c r="X1523" s="238">
        <f t="shared" si="1351"/>
        <v>0</v>
      </c>
    </row>
    <row r="1524" spans="1:24" s="229" customFormat="1" ht="25.5" hidden="1">
      <c r="A1524" s="240" t="s">
        <v>260</v>
      </c>
      <c r="B1524" s="247" t="s">
        <v>402</v>
      </c>
      <c r="C1524" s="247" t="s">
        <v>20</v>
      </c>
      <c r="D1524" s="247" t="s">
        <v>49</v>
      </c>
      <c r="E1524" s="227" t="s">
        <v>82</v>
      </c>
      <c r="F1524" s="227" t="s">
        <v>70</v>
      </c>
      <c r="G1524" s="227" t="s">
        <v>148</v>
      </c>
      <c r="H1524" s="247" t="s">
        <v>185</v>
      </c>
      <c r="I1524" s="248" t="s">
        <v>94</v>
      </c>
      <c r="J1524" s="238"/>
      <c r="K1524" s="238"/>
      <c r="L1524" s="238"/>
      <c r="M1524" s="238"/>
      <c r="N1524" s="238"/>
      <c r="O1524" s="238"/>
      <c r="P1524" s="238">
        <f>P1525</f>
        <v>0</v>
      </c>
      <c r="Q1524" s="238">
        <f t="shared" si="1350"/>
        <v>0</v>
      </c>
      <c r="R1524" s="238">
        <f t="shared" si="1350"/>
        <v>0</v>
      </c>
      <c r="S1524" s="238">
        <f>S1525</f>
        <v>89793.76</v>
      </c>
      <c r="T1524" s="238">
        <f t="shared" si="1350"/>
        <v>0</v>
      </c>
      <c r="U1524" s="238">
        <f t="shared" si="1350"/>
        <v>0</v>
      </c>
      <c r="V1524" s="238">
        <f t="shared" si="1351"/>
        <v>89793.76</v>
      </c>
      <c r="W1524" s="238">
        <f t="shared" si="1351"/>
        <v>0</v>
      </c>
      <c r="X1524" s="238">
        <f t="shared" si="1351"/>
        <v>0</v>
      </c>
    </row>
    <row r="1525" spans="1:24" s="229" customFormat="1" ht="25.5" hidden="1">
      <c r="A1525" s="239" t="s">
        <v>98</v>
      </c>
      <c r="B1525" s="247" t="s">
        <v>402</v>
      </c>
      <c r="C1525" s="247" t="s">
        <v>20</v>
      </c>
      <c r="D1525" s="247" t="s">
        <v>49</v>
      </c>
      <c r="E1525" s="227" t="s">
        <v>82</v>
      </c>
      <c r="F1525" s="227" t="s">
        <v>70</v>
      </c>
      <c r="G1525" s="227" t="s">
        <v>148</v>
      </c>
      <c r="H1525" s="247" t="s">
        <v>185</v>
      </c>
      <c r="I1525" s="248" t="s">
        <v>95</v>
      </c>
      <c r="J1525" s="238"/>
      <c r="K1525" s="238"/>
      <c r="L1525" s="238"/>
      <c r="M1525" s="238"/>
      <c r="N1525" s="238"/>
      <c r="O1525" s="238"/>
      <c r="P1525" s="238"/>
      <c r="Q1525" s="238"/>
      <c r="R1525" s="238"/>
      <c r="S1525" s="238">
        <v>89793.76</v>
      </c>
      <c r="T1525" s="238"/>
      <c r="U1525" s="238"/>
      <c r="V1525" s="238">
        <f t="shared" si="1351"/>
        <v>89793.76</v>
      </c>
      <c r="W1525" s="238">
        <f t="shared" si="1351"/>
        <v>0</v>
      </c>
      <c r="X1525" s="238">
        <f t="shared" si="1351"/>
        <v>0</v>
      </c>
    </row>
    <row r="1526" spans="1:24" s="229" customFormat="1" ht="15.75" hidden="1">
      <c r="A1526" s="249" t="s">
        <v>54</v>
      </c>
      <c r="B1526" s="226" t="s">
        <v>402</v>
      </c>
      <c r="C1526" s="226" t="s">
        <v>17</v>
      </c>
      <c r="D1526" s="227"/>
      <c r="E1526" s="227"/>
      <c r="F1526" s="227"/>
      <c r="G1526" s="227"/>
      <c r="H1526" s="227"/>
      <c r="I1526" s="237"/>
      <c r="J1526" s="228"/>
      <c r="K1526" s="228"/>
      <c r="L1526" s="228"/>
      <c r="M1526" s="228"/>
      <c r="N1526" s="228"/>
      <c r="O1526" s="228"/>
      <c r="P1526" s="228">
        <f>P1527</f>
        <v>63322.720000000001</v>
      </c>
      <c r="Q1526" s="228">
        <f t="shared" ref="Q1526:U1528" si="1352">Q1527</f>
        <v>0</v>
      </c>
      <c r="R1526" s="228">
        <f t="shared" si="1352"/>
        <v>0</v>
      </c>
      <c r="S1526" s="228">
        <f t="shared" si="1352"/>
        <v>0</v>
      </c>
      <c r="T1526" s="228">
        <f t="shared" si="1352"/>
        <v>0</v>
      </c>
      <c r="U1526" s="228">
        <f t="shared" si="1352"/>
        <v>0</v>
      </c>
      <c r="V1526" s="228">
        <f t="shared" si="1351"/>
        <v>63322.720000000001</v>
      </c>
      <c r="W1526" s="228">
        <f t="shared" si="1351"/>
        <v>0</v>
      </c>
      <c r="X1526" s="228">
        <f t="shared" si="1351"/>
        <v>0</v>
      </c>
    </row>
    <row r="1527" spans="1:24" s="229" customFormat="1" hidden="1">
      <c r="A1527" s="250" t="s">
        <v>55</v>
      </c>
      <c r="B1527" s="232" t="s">
        <v>402</v>
      </c>
      <c r="C1527" s="232" t="s">
        <v>17</v>
      </c>
      <c r="D1527" s="232" t="s">
        <v>13</v>
      </c>
      <c r="E1527" s="232"/>
      <c r="F1527" s="232"/>
      <c r="G1527" s="232"/>
      <c r="H1527" s="232"/>
      <c r="I1527" s="233"/>
      <c r="J1527" s="234"/>
      <c r="K1527" s="234"/>
      <c r="L1527" s="234"/>
      <c r="M1527" s="234"/>
      <c r="N1527" s="234"/>
      <c r="O1527" s="234"/>
      <c r="P1527" s="234">
        <f>P1528</f>
        <v>63322.720000000001</v>
      </c>
      <c r="Q1527" s="234">
        <f t="shared" si="1352"/>
        <v>0</v>
      </c>
      <c r="R1527" s="234">
        <f t="shared" si="1352"/>
        <v>0</v>
      </c>
      <c r="S1527" s="234">
        <f t="shared" si="1352"/>
        <v>0</v>
      </c>
      <c r="T1527" s="234">
        <f t="shared" si="1352"/>
        <v>0</v>
      </c>
      <c r="U1527" s="234">
        <f t="shared" si="1352"/>
        <v>0</v>
      </c>
      <c r="V1527" s="234">
        <f t="shared" si="1351"/>
        <v>63322.720000000001</v>
      </c>
      <c r="W1527" s="234">
        <f t="shared" si="1351"/>
        <v>0</v>
      </c>
      <c r="X1527" s="234">
        <f t="shared" si="1351"/>
        <v>0</v>
      </c>
    </row>
    <row r="1528" spans="1:24" s="229" customFormat="1" hidden="1">
      <c r="A1528" s="235" t="s">
        <v>83</v>
      </c>
      <c r="B1528" s="247" t="s">
        <v>402</v>
      </c>
      <c r="C1528" s="227" t="s">
        <v>17</v>
      </c>
      <c r="D1528" s="227" t="s">
        <v>13</v>
      </c>
      <c r="E1528" s="227" t="s">
        <v>82</v>
      </c>
      <c r="F1528" s="227" t="s">
        <v>70</v>
      </c>
      <c r="G1528" s="227" t="s">
        <v>148</v>
      </c>
      <c r="H1528" s="227" t="s">
        <v>149</v>
      </c>
      <c r="I1528" s="237"/>
      <c r="J1528" s="244"/>
      <c r="K1528" s="244"/>
      <c r="L1528" s="244"/>
      <c r="M1528" s="244"/>
      <c r="N1528" s="244"/>
      <c r="O1528" s="244"/>
      <c r="P1528" s="244">
        <f>P1529</f>
        <v>63322.720000000001</v>
      </c>
      <c r="Q1528" s="244">
        <f t="shared" si="1352"/>
        <v>0</v>
      </c>
      <c r="R1528" s="244">
        <f t="shared" si="1352"/>
        <v>0</v>
      </c>
      <c r="S1528" s="244">
        <f t="shared" si="1352"/>
        <v>0</v>
      </c>
      <c r="T1528" s="244">
        <f t="shared" si="1352"/>
        <v>0</v>
      </c>
      <c r="U1528" s="244">
        <f t="shared" si="1352"/>
        <v>0</v>
      </c>
      <c r="V1528" s="244">
        <f t="shared" si="1351"/>
        <v>63322.720000000001</v>
      </c>
      <c r="W1528" s="244">
        <f t="shared" si="1351"/>
        <v>0</v>
      </c>
      <c r="X1528" s="244">
        <f t="shared" si="1351"/>
        <v>0</v>
      </c>
    </row>
    <row r="1529" spans="1:24" s="229" customFormat="1" ht="25.5" hidden="1">
      <c r="A1529" s="235" t="s">
        <v>304</v>
      </c>
      <c r="B1529" s="247" t="s">
        <v>402</v>
      </c>
      <c r="C1529" s="227" t="s">
        <v>17</v>
      </c>
      <c r="D1529" s="227" t="s">
        <v>13</v>
      </c>
      <c r="E1529" s="227" t="s">
        <v>82</v>
      </c>
      <c r="F1529" s="227" t="s">
        <v>70</v>
      </c>
      <c r="G1529" s="227" t="s">
        <v>148</v>
      </c>
      <c r="H1529" s="227" t="s">
        <v>305</v>
      </c>
      <c r="I1529" s="237"/>
      <c r="J1529" s="244"/>
      <c r="K1529" s="244"/>
      <c r="L1529" s="244"/>
      <c r="M1529" s="244"/>
      <c r="N1529" s="244"/>
      <c r="O1529" s="244"/>
      <c r="P1529" s="244">
        <f>P1530+P1532</f>
        <v>63322.720000000001</v>
      </c>
      <c r="Q1529" s="244">
        <f t="shared" ref="Q1529:U1529" si="1353">Q1530+Q1532</f>
        <v>0</v>
      </c>
      <c r="R1529" s="244">
        <f t="shared" si="1353"/>
        <v>0</v>
      </c>
      <c r="S1529" s="244">
        <f t="shared" si="1353"/>
        <v>0</v>
      </c>
      <c r="T1529" s="244">
        <f t="shared" si="1353"/>
        <v>0</v>
      </c>
      <c r="U1529" s="244">
        <f t="shared" si="1353"/>
        <v>0</v>
      </c>
      <c r="V1529" s="244">
        <f t="shared" si="1351"/>
        <v>63322.720000000001</v>
      </c>
      <c r="W1529" s="244">
        <f t="shared" si="1351"/>
        <v>0</v>
      </c>
      <c r="X1529" s="244">
        <f t="shared" si="1351"/>
        <v>0</v>
      </c>
    </row>
    <row r="1530" spans="1:24" s="229" customFormat="1" ht="38.25" hidden="1">
      <c r="A1530" s="239" t="s">
        <v>96</v>
      </c>
      <c r="B1530" s="247" t="s">
        <v>402</v>
      </c>
      <c r="C1530" s="227" t="s">
        <v>17</v>
      </c>
      <c r="D1530" s="227" t="s">
        <v>13</v>
      </c>
      <c r="E1530" s="227" t="s">
        <v>82</v>
      </c>
      <c r="F1530" s="227" t="s">
        <v>70</v>
      </c>
      <c r="G1530" s="227" t="s">
        <v>148</v>
      </c>
      <c r="H1530" s="227" t="s">
        <v>305</v>
      </c>
      <c r="I1530" s="237" t="s">
        <v>92</v>
      </c>
      <c r="J1530" s="244"/>
      <c r="K1530" s="244"/>
      <c r="L1530" s="244"/>
      <c r="M1530" s="244"/>
      <c r="N1530" s="244"/>
      <c r="O1530" s="244"/>
      <c r="P1530" s="244">
        <f>P1531</f>
        <v>31248</v>
      </c>
      <c r="Q1530" s="244">
        <f t="shared" ref="Q1530:U1530" si="1354">Q1531</f>
        <v>0</v>
      </c>
      <c r="R1530" s="244">
        <f t="shared" si="1354"/>
        <v>0</v>
      </c>
      <c r="S1530" s="244">
        <f t="shared" si="1354"/>
        <v>0</v>
      </c>
      <c r="T1530" s="244">
        <f t="shared" si="1354"/>
        <v>0</v>
      </c>
      <c r="U1530" s="244">
        <f t="shared" si="1354"/>
        <v>0</v>
      </c>
      <c r="V1530" s="244">
        <f t="shared" si="1351"/>
        <v>31248</v>
      </c>
      <c r="W1530" s="244">
        <f t="shared" si="1351"/>
        <v>0</v>
      </c>
      <c r="X1530" s="244">
        <f t="shared" si="1351"/>
        <v>0</v>
      </c>
    </row>
    <row r="1531" spans="1:24" s="229" customFormat="1" hidden="1">
      <c r="A1531" s="239" t="s">
        <v>103</v>
      </c>
      <c r="B1531" s="247" t="s">
        <v>402</v>
      </c>
      <c r="C1531" s="227" t="s">
        <v>17</v>
      </c>
      <c r="D1531" s="227" t="s">
        <v>13</v>
      </c>
      <c r="E1531" s="227" t="s">
        <v>82</v>
      </c>
      <c r="F1531" s="227" t="s">
        <v>70</v>
      </c>
      <c r="G1531" s="227" t="s">
        <v>148</v>
      </c>
      <c r="H1531" s="227" t="s">
        <v>305</v>
      </c>
      <c r="I1531" s="237" t="s">
        <v>102</v>
      </c>
      <c r="J1531" s="244"/>
      <c r="K1531" s="244"/>
      <c r="L1531" s="244"/>
      <c r="M1531" s="244"/>
      <c r="N1531" s="244"/>
      <c r="O1531" s="244"/>
      <c r="P1531" s="244">
        <f>24000+7248</f>
        <v>31248</v>
      </c>
      <c r="Q1531" s="244"/>
      <c r="R1531" s="244"/>
      <c r="S1531" s="244"/>
      <c r="T1531" s="244"/>
      <c r="U1531" s="244"/>
      <c r="V1531" s="244">
        <f t="shared" si="1351"/>
        <v>31248</v>
      </c>
      <c r="W1531" s="244">
        <f t="shared" si="1351"/>
        <v>0</v>
      </c>
      <c r="X1531" s="244">
        <f t="shared" si="1351"/>
        <v>0</v>
      </c>
    </row>
    <row r="1532" spans="1:24" s="229" customFormat="1" ht="25.5" hidden="1">
      <c r="A1532" s="240" t="s">
        <v>260</v>
      </c>
      <c r="B1532" s="247" t="s">
        <v>402</v>
      </c>
      <c r="C1532" s="227" t="s">
        <v>17</v>
      </c>
      <c r="D1532" s="227" t="s">
        <v>13</v>
      </c>
      <c r="E1532" s="227" t="s">
        <v>82</v>
      </c>
      <c r="F1532" s="227" t="s">
        <v>70</v>
      </c>
      <c r="G1532" s="227" t="s">
        <v>148</v>
      </c>
      <c r="H1532" s="227" t="s">
        <v>305</v>
      </c>
      <c r="I1532" s="237" t="s">
        <v>94</v>
      </c>
      <c r="J1532" s="244"/>
      <c r="K1532" s="244"/>
      <c r="L1532" s="244"/>
      <c r="M1532" s="244"/>
      <c r="N1532" s="244"/>
      <c r="O1532" s="244"/>
      <c r="P1532" s="244">
        <f>P1533</f>
        <v>32074.720000000001</v>
      </c>
      <c r="Q1532" s="244">
        <f t="shared" ref="Q1532:U1532" si="1355">Q1533</f>
        <v>0</v>
      </c>
      <c r="R1532" s="244">
        <f t="shared" si="1355"/>
        <v>0</v>
      </c>
      <c r="S1532" s="244">
        <f t="shared" si="1355"/>
        <v>0</v>
      </c>
      <c r="T1532" s="244">
        <f t="shared" si="1355"/>
        <v>0</v>
      </c>
      <c r="U1532" s="244">
        <f t="shared" si="1355"/>
        <v>0</v>
      </c>
      <c r="V1532" s="244">
        <f t="shared" si="1351"/>
        <v>32074.720000000001</v>
      </c>
      <c r="W1532" s="244">
        <f t="shared" si="1351"/>
        <v>0</v>
      </c>
      <c r="X1532" s="244">
        <f t="shared" si="1351"/>
        <v>0</v>
      </c>
    </row>
    <row r="1533" spans="1:24" s="229" customFormat="1" ht="25.5" hidden="1">
      <c r="A1533" s="239" t="s">
        <v>98</v>
      </c>
      <c r="B1533" s="247" t="s">
        <v>402</v>
      </c>
      <c r="C1533" s="227" t="s">
        <v>17</v>
      </c>
      <c r="D1533" s="227" t="s">
        <v>13</v>
      </c>
      <c r="E1533" s="227" t="s">
        <v>82</v>
      </c>
      <c r="F1533" s="227" t="s">
        <v>70</v>
      </c>
      <c r="G1533" s="227" t="s">
        <v>148</v>
      </c>
      <c r="H1533" s="227" t="s">
        <v>305</v>
      </c>
      <c r="I1533" s="237" t="s">
        <v>95</v>
      </c>
      <c r="J1533" s="244"/>
      <c r="K1533" s="244"/>
      <c r="L1533" s="244"/>
      <c r="M1533" s="244"/>
      <c r="N1533" s="244"/>
      <c r="O1533" s="244"/>
      <c r="P1533" s="244">
        <v>32074.720000000001</v>
      </c>
      <c r="Q1533" s="244"/>
      <c r="R1533" s="244"/>
      <c r="S1533" s="244"/>
      <c r="T1533" s="244"/>
      <c r="U1533" s="244"/>
      <c r="V1533" s="244">
        <f t="shared" si="1351"/>
        <v>32074.720000000001</v>
      </c>
      <c r="W1533" s="244">
        <f t="shared" si="1351"/>
        <v>0</v>
      </c>
      <c r="X1533" s="244">
        <f t="shared" si="1351"/>
        <v>0</v>
      </c>
    </row>
    <row r="1534" spans="1:24" s="255" customFormat="1" ht="31.5" hidden="1">
      <c r="A1534" s="249" t="s">
        <v>26</v>
      </c>
      <c r="B1534" s="251" t="s">
        <v>402</v>
      </c>
      <c r="C1534" s="251" t="s">
        <v>13</v>
      </c>
      <c r="D1534" s="252"/>
      <c r="E1534" s="252"/>
      <c r="F1534" s="252"/>
      <c r="G1534" s="252"/>
      <c r="H1534" s="252"/>
      <c r="I1534" s="253"/>
      <c r="J1534" s="254"/>
      <c r="K1534" s="254"/>
      <c r="L1534" s="254"/>
      <c r="M1534" s="254"/>
      <c r="N1534" s="254"/>
      <c r="O1534" s="254"/>
      <c r="P1534" s="254">
        <f>P1535</f>
        <v>52000</v>
      </c>
      <c r="Q1534" s="254">
        <f t="shared" ref="Q1534:U1538" si="1356">Q1535</f>
        <v>0</v>
      </c>
      <c r="R1534" s="254">
        <f t="shared" si="1356"/>
        <v>0</v>
      </c>
      <c r="S1534" s="254">
        <f t="shared" si="1356"/>
        <v>0</v>
      </c>
      <c r="T1534" s="254">
        <f t="shared" si="1356"/>
        <v>0</v>
      </c>
      <c r="U1534" s="254">
        <f t="shared" si="1356"/>
        <v>0</v>
      </c>
      <c r="V1534" s="254">
        <f t="shared" si="1351"/>
        <v>52000</v>
      </c>
      <c r="W1534" s="254">
        <f t="shared" si="1351"/>
        <v>0</v>
      </c>
      <c r="X1534" s="254">
        <f t="shared" si="1351"/>
        <v>0</v>
      </c>
    </row>
    <row r="1535" spans="1:24" s="229" customFormat="1" ht="38.25" hidden="1">
      <c r="A1535" s="256" t="s">
        <v>230</v>
      </c>
      <c r="B1535" s="257" t="s">
        <v>402</v>
      </c>
      <c r="C1535" s="257" t="s">
        <v>13</v>
      </c>
      <c r="D1535" s="257" t="s">
        <v>30</v>
      </c>
      <c r="E1535" s="257"/>
      <c r="F1535" s="257"/>
      <c r="G1535" s="257"/>
      <c r="H1535" s="257"/>
      <c r="I1535" s="258"/>
      <c r="J1535" s="259"/>
      <c r="K1535" s="259"/>
      <c r="L1535" s="259"/>
      <c r="M1535" s="259"/>
      <c r="N1535" s="259"/>
      <c r="O1535" s="259"/>
      <c r="P1535" s="259">
        <f>P1536</f>
        <v>52000</v>
      </c>
      <c r="Q1535" s="259">
        <f t="shared" si="1356"/>
        <v>0</v>
      </c>
      <c r="R1535" s="259">
        <f t="shared" si="1356"/>
        <v>0</v>
      </c>
      <c r="S1535" s="259">
        <f t="shared" si="1356"/>
        <v>0</v>
      </c>
      <c r="T1535" s="259">
        <f t="shared" si="1356"/>
        <v>0</v>
      </c>
      <c r="U1535" s="259">
        <f t="shared" si="1356"/>
        <v>0</v>
      </c>
      <c r="V1535" s="259">
        <f t="shared" si="1351"/>
        <v>52000</v>
      </c>
      <c r="W1535" s="259">
        <f t="shared" si="1351"/>
        <v>0</v>
      </c>
      <c r="X1535" s="259">
        <f t="shared" si="1351"/>
        <v>0</v>
      </c>
    </row>
    <row r="1536" spans="1:24" s="229" customFormat="1" hidden="1">
      <c r="A1536" s="260" t="s">
        <v>290</v>
      </c>
      <c r="B1536" s="261" t="s">
        <v>402</v>
      </c>
      <c r="C1536" s="261" t="s">
        <v>13</v>
      </c>
      <c r="D1536" s="261" t="s">
        <v>30</v>
      </c>
      <c r="E1536" s="261" t="s">
        <v>214</v>
      </c>
      <c r="F1536" s="261" t="s">
        <v>70</v>
      </c>
      <c r="G1536" s="261" t="s">
        <v>148</v>
      </c>
      <c r="H1536" s="261" t="s">
        <v>149</v>
      </c>
      <c r="I1536" s="262"/>
      <c r="J1536" s="263"/>
      <c r="K1536" s="263"/>
      <c r="L1536" s="263"/>
      <c r="M1536" s="263"/>
      <c r="N1536" s="263"/>
      <c r="O1536" s="263"/>
      <c r="P1536" s="263">
        <f>P1537</f>
        <v>52000</v>
      </c>
      <c r="Q1536" s="263">
        <f t="shared" si="1356"/>
        <v>0</v>
      </c>
      <c r="R1536" s="263">
        <f t="shared" si="1356"/>
        <v>0</v>
      </c>
      <c r="S1536" s="263">
        <f t="shared" si="1356"/>
        <v>0</v>
      </c>
      <c r="T1536" s="263">
        <f t="shared" si="1356"/>
        <v>0</v>
      </c>
      <c r="U1536" s="263">
        <f t="shared" si="1356"/>
        <v>0</v>
      </c>
      <c r="V1536" s="263">
        <f t="shared" si="1351"/>
        <v>52000</v>
      </c>
      <c r="W1536" s="263">
        <f t="shared" si="1351"/>
        <v>0</v>
      </c>
      <c r="X1536" s="263">
        <f t="shared" si="1351"/>
        <v>0</v>
      </c>
    </row>
    <row r="1537" spans="1:24" s="229" customFormat="1" hidden="1">
      <c r="A1537" s="241" t="s">
        <v>336</v>
      </c>
      <c r="B1537" s="261" t="s">
        <v>402</v>
      </c>
      <c r="C1537" s="261" t="s">
        <v>13</v>
      </c>
      <c r="D1537" s="261" t="s">
        <v>30</v>
      </c>
      <c r="E1537" s="261" t="s">
        <v>214</v>
      </c>
      <c r="F1537" s="261" t="s">
        <v>70</v>
      </c>
      <c r="G1537" s="261" t="s">
        <v>148</v>
      </c>
      <c r="H1537" s="261" t="s">
        <v>335</v>
      </c>
      <c r="I1537" s="262"/>
      <c r="J1537" s="263"/>
      <c r="K1537" s="263"/>
      <c r="L1537" s="263"/>
      <c r="M1537" s="263"/>
      <c r="N1537" s="263"/>
      <c r="O1537" s="263"/>
      <c r="P1537" s="263">
        <f>P1538</f>
        <v>52000</v>
      </c>
      <c r="Q1537" s="263">
        <f t="shared" si="1356"/>
        <v>0</v>
      </c>
      <c r="R1537" s="263">
        <f t="shared" si="1356"/>
        <v>0</v>
      </c>
      <c r="S1537" s="263">
        <f t="shared" si="1356"/>
        <v>0</v>
      </c>
      <c r="T1537" s="263">
        <f t="shared" si="1356"/>
        <v>0</v>
      </c>
      <c r="U1537" s="263">
        <f t="shared" si="1356"/>
        <v>0</v>
      </c>
      <c r="V1537" s="263">
        <f t="shared" si="1351"/>
        <v>52000</v>
      </c>
      <c r="W1537" s="263">
        <f t="shared" si="1351"/>
        <v>0</v>
      </c>
      <c r="X1537" s="263">
        <f t="shared" si="1351"/>
        <v>0</v>
      </c>
    </row>
    <row r="1538" spans="1:24" s="229" customFormat="1" ht="25.5" hidden="1">
      <c r="A1538" s="240" t="s">
        <v>260</v>
      </c>
      <c r="B1538" s="261" t="s">
        <v>402</v>
      </c>
      <c r="C1538" s="261" t="s">
        <v>13</v>
      </c>
      <c r="D1538" s="261" t="s">
        <v>30</v>
      </c>
      <c r="E1538" s="261" t="s">
        <v>214</v>
      </c>
      <c r="F1538" s="261" t="s">
        <v>70</v>
      </c>
      <c r="G1538" s="261" t="s">
        <v>148</v>
      </c>
      <c r="H1538" s="261" t="s">
        <v>335</v>
      </c>
      <c r="I1538" s="262" t="s">
        <v>94</v>
      </c>
      <c r="J1538" s="263"/>
      <c r="K1538" s="263"/>
      <c r="L1538" s="263"/>
      <c r="M1538" s="263"/>
      <c r="N1538" s="263"/>
      <c r="O1538" s="263"/>
      <c r="P1538" s="263">
        <f>P1539</f>
        <v>52000</v>
      </c>
      <c r="Q1538" s="263">
        <f t="shared" si="1356"/>
        <v>0</v>
      </c>
      <c r="R1538" s="263">
        <f t="shared" si="1356"/>
        <v>0</v>
      </c>
      <c r="S1538" s="263">
        <f t="shared" si="1356"/>
        <v>0</v>
      </c>
      <c r="T1538" s="263">
        <f t="shared" si="1356"/>
        <v>0</v>
      </c>
      <c r="U1538" s="263">
        <f t="shared" si="1356"/>
        <v>0</v>
      </c>
      <c r="V1538" s="263">
        <f t="shared" ref="V1538:X1540" si="1357">P1538+S1538</f>
        <v>52000</v>
      </c>
      <c r="W1538" s="263">
        <f t="shared" si="1357"/>
        <v>0</v>
      </c>
      <c r="X1538" s="263">
        <f t="shared" si="1357"/>
        <v>0</v>
      </c>
    </row>
    <row r="1539" spans="1:24" s="229" customFormat="1" ht="25.5" hidden="1">
      <c r="A1539" s="239" t="s">
        <v>98</v>
      </c>
      <c r="B1539" s="261" t="s">
        <v>402</v>
      </c>
      <c r="C1539" s="261" t="s">
        <v>13</v>
      </c>
      <c r="D1539" s="261" t="s">
        <v>30</v>
      </c>
      <c r="E1539" s="261" t="s">
        <v>214</v>
      </c>
      <c r="F1539" s="261" t="s">
        <v>70</v>
      </c>
      <c r="G1539" s="261" t="s">
        <v>148</v>
      </c>
      <c r="H1539" s="261" t="s">
        <v>335</v>
      </c>
      <c r="I1539" s="262" t="s">
        <v>95</v>
      </c>
      <c r="J1539" s="263"/>
      <c r="K1539" s="263"/>
      <c r="L1539" s="263"/>
      <c r="M1539" s="263"/>
      <c r="N1539" s="263"/>
      <c r="O1539" s="263"/>
      <c r="P1539" s="263">
        <v>52000</v>
      </c>
      <c r="Q1539" s="263"/>
      <c r="R1539" s="263"/>
      <c r="S1539" s="263"/>
      <c r="T1539" s="263"/>
      <c r="U1539" s="263"/>
      <c r="V1539" s="263">
        <f t="shared" si="1357"/>
        <v>52000</v>
      </c>
      <c r="W1539" s="263">
        <f t="shared" si="1357"/>
        <v>0</v>
      </c>
      <c r="X1539" s="263">
        <f t="shared" si="1357"/>
        <v>0</v>
      </c>
    </row>
    <row r="1540" spans="1:24" s="229" customFormat="1" ht="15.75" hidden="1">
      <c r="A1540" s="225" t="s">
        <v>15</v>
      </c>
      <c r="B1540" s="266" t="s">
        <v>402</v>
      </c>
      <c r="C1540" s="266" t="s">
        <v>16</v>
      </c>
      <c r="D1540" s="247"/>
      <c r="E1540" s="247"/>
      <c r="F1540" s="247"/>
      <c r="G1540" s="247"/>
      <c r="H1540" s="247"/>
      <c r="I1540" s="248"/>
      <c r="J1540" s="228"/>
      <c r="K1540" s="228"/>
      <c r="L1540" s="228"/>
      <c r="M1540" s="228"/>
      <c r="N1540" s="228"/>
      <c r="O1540" s="228"/>
      <c r="P1540" s="228">
        <f>P1541</f>
        <v>2496000</v>
      </c>
      <c r="Q1540" s="228">
        <f t="shared" ref="Q1540:U1540" si="1358">Q1541</f>
        <v>0</v>
      </c>
      <c r="R1540" s="228">
        <f t="shared" si="1358"/>
        <v>0</v>
      </c>
      <c r="S1540" s="228">
        <f t="shared" si="1358"/>
        <v>0</v>
      </c>
      <c r="T1540" s="228">
        <f t="shared" si="1358"/>
        <v>0</v>
      </c>
      <c r="U1540" s="228">
        <f t="shared" si="1358"/>
        <v>0</v>
      </c>
      <c r="V1540" s="228">
        <f t="shared" si="1357"/>
        <v>2496000</v>
      </c>
      <c r="W1540" s="228">
        <f t="shared" si="1357"/>
        <v>0</v>
      </c>
      <c r="X1540" s="228">
        <f t="shared" si="1357"/>
        <v>0</v>
      </c>
    </row>
    <row r="1541" spans="1:24" s="229" customFormat="1" hidden="1">
      <c r="A1541" s="230" t="s">
        <v>60</v>
      </c>
      <c r="B1541" s="231" t="s">
        <v>402</v>
      </c>
      <c r="C1541" s="231" t="s">
        <v>16</v>
      </c>
      <c r="D1541" s="231" t="s">
        <v>14</v>
      </c>
      <c r="E1541" s="231"/>
      <c r="F1541" s="231"/>
      <c r="G1541" s="231"/>
      <c r="H1541" s="227"/>
      <c r="I1541" s="237"/>
      <c r="J1541" s="234"/>
      <c r="K1541" s="234"/>
      <c r="L1541" s="234"/>
      <c r="M1541" s="234"/>
      <c r="N1541" s="234"/>
      <c r="O1541" s="234"/>
      <c r="P1541" s="234">
        <f>P1542+P1546</f>
        <v>2496000</v>
      </c>
      <c r="Q1541" s="234">
        <f t="shared" ref="Q1541:U1541" si="1359">Q1542+Q1546</f>
        <v>0</v>
      </c>
      <c r="R1541" s="234">
        <f t="shared" si="1359"/>
        <v>0</v>
      </c>
      <c r="S1541" s="234">
        <f t="shared" si="1359"/>
        <v>0</v>
      </c>
      <c r="T1541" s="234">
        <f t="shared" si="1359"/>
        <v>0</v>
      </c>
      <c r="U1541" s="234">
        <f t="shared" si="1359"/>
        <v>0</v>
      </c>
      <c r="V1541" s="234">
        <f>P1541+S1541</f>
        <v>2496000</v>
      </c>
      <c r="W1541" s="234">
        <f>Q1541+T1541</f>
        <v>0</v>
      </c>
      <c r="X1541" s="234">
        <f>R1541+U1541</f>
        <v>0</v>
      </c>
    </row>
    <row r="1542" spans="1:24" s="229" customFormat="1" ht="38.25" hidden="1">
      <c r="A1542" s="235" t="s">
        <v>396</v>
      </c>
      <c r="B1542" s="227" t="s">
        <v>402</v>
      </c>
      <c r="C1542" s="227" t="s">
        <v>16</v>
      </c>
      <c r="D1542" s="227" t="s">
        <v>14</v>
      </c>
      <c r="E1542" s="227" t="s">
        <v>18</v>
      </c>
      <c r="F1542" s="227" t="s">
        <v>70</v>
      </c>
      <c r="G1542" s="227" t="s">
        <v>148</v>
      </c>
      <c r="H1542" s="267" t="s">
        <v>149</v>
      </c>
      <c r="I1542" s="237"/>
      <c r="J1542" s="238"/>
      <c r="K1542" s="238"/>
      <c r="L1542" s="238"/>
      <c r="M1542" s="238"/>
      <c r="N1542" s="238"/>
      <c r="O1542" s="238"/>
      <c r="P1542" s="238">
        <f>P1543</f>
        <v>1696000</v>
      </c>
      <c r="Q1542" s="238">
        <f t="shared" ref="Q1542:U1544" si="1360">Q1543</f>
        <v>0</v>
      </c>
      <c r="R1542" s="238">
        <f t="shared" si="1360"/>
        <v>0</v>
      </c>
      <c r="S1542" s="238">
        <f t="shared" si="1360"/>
        <v>0</v>
      </c>
      <c r="T1542" s="238">
        <f t="shared" si="1360"/>
        <v>0</v>
      </c>
      <c r="U1542" s="238">
        <f t="shared" si="1360"/>
        <v>0</v>
      </c>
      <c r="V1542" s="238">
        <f t="shared" ref="V1542:X1557" si="1361">P1542+S1542</f>
        <v>1696000</v>
      </c>
      <c r="W1542" s="238">
        <f t="shared" si="1361"/>
        <v>0</v>
      </c>
      <c r="X1542" s="238">
        <f t="shared" si="1361"/>
        <v>0</v>
      </c>
    </row>
    <row r="1543" spans="1:24" s="229" customFormat="1" ht="25.5" hidden="1">
      <c r="A1543" s="268" t="s">
        <v>312</v>
      </c>
      <c r="B1543" s="227" t="s">
        <v>402</v>
      </c>
      <c r="C1543" s="227" t="s">
        <v>16</v>
      </c>
      <c r="D1543" s="227" t="s">
        <v>14</v>
      </c>
      <c r="E1543" s="227" t="s">
        <v>18</v>
      </c>
      <c r="F1543" s="227" t="s">
        <v>70</v>
      </c>
      <c r="G1543" s="227" t="s">
        <v>148</v>
      </c>
      <c r="H1543" s="267" t="s">
        <v>311</v>
      </c>
      <c r="I1543" s="237"/>
      <c r="J1543" s="238"/>
      <c r="K1543" s="238"/>
      <c r="L1543" s="238"/>
      <c r="M1543" s="238"/>
      <c r="N1543" s="238"/>
      <c r="O1543" s="238"/>
      <c r="P1543" s="238">
        <f>P1544</f>
        <v>1696000</v>
      </c>
      <c r="Q1543" s="238">
        <f t="shared" si="1360"/>
        <v>0</v>
      </c>
      <c r="R1543" s="238">
        <f t="shared" si="1360"/>
        <v>0</v>
      </c>
      <c r="S1543" s="238">
        <f t="shared" si="1360"/>
        <v>0</v>
      </c>
      <c r="T1543" s="238">
        <f t="shared" si="1360"/>
        <v>0</v>
      </c>
      <c r="U1543" s="238">
        <f t="shared" si="1360"/>
        <v>0</v>
      </c>
      <c r="V1543" s="238">
        <f t="shared" si="1361"/>
        <v>1696000</v>
      </c>
      <c r="W1543" s="238">
        <f t="shared" si="1361"/>
        <v>0</v>
      </c>
      <c r="X1543" s="238">
        <f t="shared" si="1361"/>
        <v>0</v>
      </c>
    </row>
    <row r="1544" spans="1:24" s="229" customFormat="1" ht="25.5" hidden="1">
      <c r="A1544" s="240" t="s">
        <v>260</v>
      </c>
      <c r="B1544" s="227" t="s">
        <v>402</v>
      </c>
      <c r="C1544" s="227" t="s">
        <v>16</v>
      </c>
      <c r="D1544" s="227" t="s">
        <v>14</v>
      </c>
      <c r="E1544" s="227" t="s">
        <v>18</v>
      </c>
      <c r="F1544" s="227" t="s">
        <v>70</v>
      </c>
      <c r="G1544" s="227" t="s">
        <v>148</v>
      </c>
      <c r="H1544" s="267" t="s">
        <v>311</v>
      </c>
      <c r="I1544" s="237" t="s">
        <v>94</v>
      </c>
      <c r="J1544" s="238"/>
      <c r="K1544" s="238"/>
      <c r="L1544" s="238"/>
      <c r="M1544" s="238"/>
      <c r="N1544" s="238"/>
      <c r="O1544" s="238"/>
      <c r="P1544" s="238">
        <f>P1545</f>
        <v>1696000</v>
      </c>
      <c r="Q1544" s="238">
        <f t="shared" si="1360"/>
        <v>0</v>
      </c>
      <c r="R1544" s="238">
        <f t="shared" si="1360"/>
        <v>0</v>
      </c>
      <c r="S1544" s="238">
        <f t="shared" si="1360"/>
        <v>0</v>
      </c>
      <c r="T1544" s="238">
        <f t="shared" si="1360"/>
        <v>0</v>
      </c>
      <c r="U1544" s="238">
        <f t="shared" si="1360"/>
        <v>0</v>
      </c>
      <c r="V1544" s="238">
        <f t="shared" si="1361"/>
        <v>1696000</v>
      </c>
      <c r="W1544" s="238">
        <f t="shared" si="1361"/>
        <v>0</v>
      </c>
      <c r="X1544" s="238">
        <f t="shared" si="1361"/>
        <v>0</v>
      </c>
    </row>
    <row r="1545" spans="1:24" s="229" customFormat="1" ht="25.5" hidden="1">
      <c r="A1545" s="239" t="s">
        <v>98</v>
      </c>
      <c r="B1545" s="227" t="s">
        <v>402</v>
      </c>
      <c r="C1545" s="227" t="s">
        <v>16</v>
      </c>
      <c r="D1545" s="227" t="s">
        <v>14</v>
      </c>
      <c r="E1545" s="227" t="s">
        <v>18</v>
      </c>
      <c r="F1545" s="227" t="s">
        <v>70</v>
      </c>
      <c r="G1545" s="227" t="s">
        <v>148</v>
      </c>
      <c r="H1545" s="267" t="s">
        <v>311</v>
      </c>
      <c r="I1545" s="237" t="s">
        <v>95</v>
      </c>
      <c r="J1545" s="238"/>
      <c r="K1545" s="238"/>
      <c r="L1545" s="238"/>
      <c r="M1545" s="238"/>
      <c r="N1545" s="238"/>
      <c r="O1545" s="238"/>
      <c r="P1545" s="238">
        <v>1696000</v>
      </c>
      <c r="Q1545" s="238">
        <v>0</v>
      </c>
      <c r="R1545" s="238">
        <v>0</v>
      </c>
      <c r="S1545" s="238"/>
      <c r="T1545" s="238"/>
      <c r="U1545" s="238"/>
      <c r="V1545" s="238">
        <f t="shared" si="1361"/>
        <v>1696000</v>
      </c>
      <c r="W1545" s="238">
        <f t="shared" si="1361"/>
        <v>0</v>
      </c>
      <c r="X1545" s="238">
        <f t="shared" si="1361"/>
        <v>0</v>
      </c>
    </row>
    <row r="1546" spans="1:24" s="229" customFormat="1" hidden="1">
      <c r="A1546" s="235" t="s">
        <v>84</v>
      </c>
      <c r="B1546" s="227" t="s">
        <v>402</v>
      </c>
      <c r="C1546" s="227" t="s">
        <v>16</v>
      </c>
      <c r="D1546" s="227" t="s">
        <v>14</v>
      </c>
      <c r="E1546" s="227" t="s">
        <v>82</v>
      </c>
      <c r="F1546" s="227" t="s">
        <v>70</v>
      </c>
      <c r="G1546" s="227" t="s">
        <v>148</v>
      </c>
      <c r="H1546" s="227" t="s">
        <v>149</v>
      </c>
      <c r="I1546" s="237"/>
      <c r="J1546" s="238"/>
      <c r="K1546" s="238"/>
      <c r="L1546" s="238"/>
      <c r="M1546" s="238"/>
      <c r="N1546" s="238"/>
      <c r="O1546" s="238"/>
      <c r="P1546" s="238">
        <f>P1547</f>
        <v>800000</v>
      </c>
      <c r="Q1546" s="238">
        <f t="shared" ref="Q1546:U1548" si="1362">Q1547</f>
        <v>0</v>
      </c>
      <c r="R1546" s="238">
        <f t="shared" si="1362"/>
        <v>0</v>
      </c>
      <c r="S1546" s="238">
        <f t="shared" si="1362"/>
        <v>0</v>
      </c>
      <c r="T1546" s="238">
        <f t="shared" si="1362"/>
        <v>0</v>
      </c>
      <c r="U1546" s="238">
        <f t="shared" si="1362"/>
        <v>0</v>
      </c>
      <c r="V1546" s="238">
        <f t="shared" si="1361"/>
        <v>800000</v>
      </c>
      <c r="W1546" s="238">
        <f t="shared" si="1361"/>
        <v>0</v>
      </c>
      <c r="X1546" s="238">
        <f t="shared" si="1361"/>
        <v>0</v>
      </c>
    </row>
    <row r="1547" spans="1:24" s="229" customFormat="1" ht="38.25" hidden="1">
      <c r="A1547" s="235" t="s">
        <v>350</v>
      </c>
      <c r="B1547" s="227" t="s">
        <v>402</v>
      </c>
      <c r="C1547" s="227" t="s">
        <v>16</v>
      </c>
      <c r="D1547" s="227" t="s">
        <v>14</v>
      </c>
      <c r="E1547" s="227" t="s">
        <v>82</v>
      </c>
      <c r="F1547" s="227" t="s">
        <v>70</v>
      </c>
      <c r="G1547" s="227" t="s">
        <v>148</v>
      </c>
      <c r="H1547" s="227" t="s">
        <v>179</v>
      </c>
      <c r="I1547" s="237"/>
      <c r="J1547" s="238"/>
      <c r="K1547" s="238"/>
      <c r="L1547" s="238"/>
      <c r="M1547" s="238"/>
      <c r="N1547" s="238"/>
      <c r="O1547" s="238"/>
      <c r="P1547" s="238">
        <f>P1548</f>
        <v>800000</v>
      </c>
      <c r="Q1547" s="238">
        <f t="shared" si="1362"/>
        <v>0</v>
      </c>
      <c r="R1547" s="238">
        <f t="shared" si="1362"/>
        <v>0</v>
      </c>
      <c r="S1547" s="238">
        <f t="shared" si="1362"/>
        <v>0</v>
      </c>
      <c r="T1547" s="238">
        <f t="shared" si="1362"/>
        <v>0</v>
      </c>
      <c r="U1547" s="238">
        <f t="shared" si="1362"/>
        <v>0</v>
      </c>
      <c r="V1547" s="238">
        <f t="shared" si="1361"/>
        <v>800000</v>
      </c>
      <c r="W1547" s="238">
        <f t="shared" si="1361"/>
        <v>0</v>
      </c>
      <c r="X1547" s="238">
        <f t="shared" si="1361"/>
        <v>0</v>
      </c>
    </row>
    <row r="1548" spans="1:24" s="229" customFormat="1" ht="25.5" hidden="1">
      <c r="A1548" s="240" t="s">
        <v>260</v>
      </c>
      <c r="B1548" s="227" t="s">
        <v>402</v>
      </c>
      <c r="C1548" s="227" t="s">
        <v>16</v>
      </c>
      <c r="D1548" s="227" t="s">
        <v>14</v>
      </c>
      <c r="E1548" s="227" t="s">
        <v>82</v>
      </c>
      <c r="F1548" s="227" t="s">
        <v>70</v>
      </c>
      <c r="G1548" s="227" t="s">
        <v>148</v>
      </c>
      <c r="H1548" s="227" t="s">
        <v>179</v>
      </c>
      <c r="I1548" s="237" t="s">
        <v>94</v>
      </c>
      <c r="J1548" s="238"/>
      <c r="K1548" s="238"/>
      <c r="L1548" s="238"/>
      <c r="M1548" s="238"/>
      <c r="N1548" s="238"/>
      <c r="O1548" s="238"/>
      <c r="P1548" s="238">
        <f>P1549</f>
        <v>800000</v>
      </c>
      <c r="Q1548" s="238">
        <f t="shared" si="1362"/>
        <v>0</v>
      </c>
      <c r="R1548" s="238">
        <f t="shared" si="1362"/>
        <v>0</v>
      </c>
      <c r="S1548" s="238">
        <f t="shared" si="1362"/>
        <v>0</v>
      </c>
      <c r="T1548" s="238">
        <f t="shared" si="1362"/>
        <v>0</v>
      </c>
      <c r="U1548" s="238">
        <f t="shared" si="1362"/>
        <v>0</v>
      </c>
      <c r="V1548" s="238">
        <f t="shared" si="1361"/>
        <v>800000</v>
      </c>
      <c r="W1548" s="238">
        <f t="shared" si="1361"/>
        <v>0</v>
      </c>
      <c r="X1548" s="238">
        <f t="shared" si="1361"/>
        <v>0</v>
      </c>
    </row>
    <row r="1549" spans="1:24" s="229" customFormat="1" ht="25.5" hidden="1">
      <c r="A1549" s="239" t="s">
        <v>98</v>
      </c>
      <c r="B1549" s="227" t="s">
        <v>402</v>
      </c>
      <c r="C1549" s="227" t="s">
        <v>16</v>
      </c>
      <c r="D1549" s="227" t="s">
        <v>14</v>
      </c>
      <c r="E1549" s="227" t="s">
        <v>82</v>
      </c>
      <c r="F1549" s="227" t="s">
        <v>70</v>
      </c>
      <c r="G1549" s="227" t="s">
        <v>148</v>
      </c>
      <c r="H1549" s="227" t="s">
        <v>179</v>
      </c>
      <c r="I1549" s="237" t="s">
        <v>95</v>
      </c>
      <c r="J1549" s="238"/>
      <c r="K1549" s="238"/>
      <c r="L1549" s="238"/>
      <c r="M1549" s="238"/>
      <c r="N1549" s="238"/>
      <c r="O1549" s="238"/>
      <c r="P1549" s="238">
        <v>800000</v>
      </c>
      <c r="Q1549" s="238"/>
      <c r="R1549" s="238"/>
      <c r="S1549" s="238"/>
      <c r="T1549" s="238"/>
      <c r="U1549" s="238"/>
      <c r="V1549" s="238">
        <f t="shared" si="1361"/>
        <v>800000</v>
      </c>
      <c r="W1549" s="238">
        <f t="shared" si="1361"/>
        <v>0</v>
      </c>
      <c r="X1549" s="238">
        <f t="shared" si="1361"/>
        <v>0</v>
      </c>
    </row>
    <row r="1550" spans="1:24" s="229" customFormat="1" ht="15.75" hidden="1">
      <c r="A1550" s="273" t="s">
        <v>46</v>
      </c>
      <c r="B1550" s="274" t="s">
        <v>402</v>
      </c>
      <c r="C1550" s="274" t="s">
        <v>18</v>
      </c>
      <c r="D1550" s="274"/>
      <c r="E1550" s="274"/>
      <c r="F1550" s="274"/>
      <c r="G1550" s="274"/>
      <c r="H1550" s="274"/>
      <c r="I1550" s="275"/>
      <c r="J1550" s="228"/>
      <c r="K1550" s="228"/>
      <c r="L1550" s="228"/>
      <c r="M1550" s="228"/>
      <c r="N1550" s="228"/>
      <c r="O1550" s="228"/>
      <c r="P1550" s="228">
        <f>P1551</f>
        <v>2746764</v>
      </c>
      <c r="Q1550" s="228">
        <f t="shared" ref="Q1550:U1550" si="1363">Q1551</f>
        <v>502063.44</v>
      </c>
      <c r="R1550" s="228">
        <f t="shared" si="1363"/>
        <v>445423.86</v>
      </c>
      <c r="S1550" s="228">
        <f t="shared" si="1363"/>
        <v>0</v>
      </c>
      <c r="T1550" s="228">
        <f t="shared" si="1363"/>
        <v>0</v>
      </c>
      <c r="U1550" s="228">
        <f t="shared" si="1363"/>
        <v>0</v>
      </c>
      <c r="V1550" s="228">
        <f t="shared" si="1361"/>
        <v>2746764</v>
      </c>
      <c r="W1550" s="228">
        <f t="shared" si="1361"/>
        <v>502063.44</v>
      </c>
      <c r="X1550" s="228">
        <f t="shared" si="1361"/>
        <v>445423.86</v>
      </c>
    </row>
    <row r="1551" spans="1:24" s="255" customFormat="1" hidden="1">
      <c r="A1551" s="278" t="s">
        <v>68</v>
      </c>
      <c r="B1551" s="231" t="s">
        <v>402</v>
      </c>
      <c r="C1551" s="231" t="s">
        <v>18</v>
      </c>
      <c r="D1551" s="231" t="s">
        <v>13</v>
      </c>
      <c r="E1551" s="231"/>
      <c r="F1551" s="231"/>
      <c r="G1551" s="231"/>
      <c r="H1551" s="231"/>
      <c r="I1551" s="242"/>
      <c r="J1551" s="234"/>
      <c r="K1551" s="234"/>
      <c r="L1551" s="234"/>
      <c r="M1551" s="234"/>
      <c r="N1551" s="234"/>
      <c r="O1551" s="234"/>
      <c r="P1551" s="234">
        <f>P1552+P1556</f>
        <v>2746764</v>
      </c>
      <c r="Q1551" s="234">
        <f t="shared" ref="Q1551:U1551" si="1364">Q1552+Q1556</f>
        <v>502063.44</v>
      </c>
      <c r="R1551" s="234">
        <f t="shared" si="1364"/>
        <v>445423.86</v>
      </c>
      <c r="S1551" s="234">
        <f t="shared" si="1364"/>
        <v>0</v>
      </c>
      <c r="T1551" s="234">
        <f t="shared" si="1364"/>
        <v>0</v>
      </c>
      <c r="U1551" s="234">
        <f t="shared" si="1364"/>
        <v>0</v>
      </c>
      <c r="V1551" s="234">
        <f t="shared" si="1361"/>
        <v>2746764</v>
      </c>
      <c r="W1551" s="234">
        <f t="shared" si="1361"/>
        <v>502063.44</v>
      </c>
      <c r="X1551" s="234">
        <f t="shared" si="1361"/>
        <v>445423.86</v>
      </c>
    </row>
    <row r="1552" spans="1:24" s="229" customFormat="1" ht="38.25" hidden="1">
      <c r="A1552" s="298" t="s">
        <v>286</v>
      </c>
      <c r="B1552" s="227" t="s">
        <v>402</v>
      </c>
      <c r="C1552" s="227" t="s">
        <v>18</v>
      </c>
      <c r="D1552" s="227" t="s">
        <v>13</v>
      </c>
      <c r="E1552" s="227" t="s">
        <v>3</v>
      </c>
      <c r="F1552" s="227" t="s">
        <v>70</v>
      </c>
      <c r="G1552" s="227" t="s">
        <v>148</v>
      </c>
      <c r="H1552" s="227" t="s">
        <v>149</v>
      </c>
      <c r="I1552" s="237"/>
      <c r="J1552" s="238"/>
      <c r="K1552" s="238"/>
      <c r="L1552" s="238"/>
      <c r="M1552" s="238"/>
      <c r="N1552" s="238"/>
      <c r="O1552" s="238"/>
      <c r="P1552" s="238">
        <f>P1553</f>
        <v>2249000</v>
      </c>
      <c r="Q1552" s="238">
        <f t="shared" ref="Q1552:U1554" si="1365">Q1553</f>
        <v>0</v>
      </c>
      <c r="R1552" s="238">
        <f t="shared" si="1365"/>
        <v>0</v>
      </c>
      <c r="S1552" s="238">
        <f t="shared" si="1365"/>
        <v>0</v>
      </c>
      <c r="T1552" s="238">
        <f t="shared" si="1365"/>
        <v>0</v>
      </c>
      <c r="U1552" s="238">
        <f t="shared" si="1365"/>
        <v>0</v>
      </c>
      <c r="V1552" s="238">
        <f t="shared" si="1361"/>
        <v>2249000</v>
      </c>
      <c r="W1552" s="238">
        <f t="shared" si="1361"/>
        <v>0</v>
      </c>
      <c r="X1552" s="238">
        <f t="shared" si="1361"/>
        <v>0</v>
      </c>
    </row>
    <row r="1553" spans="1:24" s="229" customFormat="1" ht="25.5" hidden="1">
      <c r="A1553" s="268" t="s">
        <v>312</v>
      </c>
      <c r="B1553" s="227" t="s">
        <v>402</v>
      </c>
      <c r="C1553" s="227" t="s">
        <v>18</v>
      </c>
      <c r="D1553" s="227" t="s">
        <v>13</v>
      </c>
      <c r="E1553" s="227" t="s">
        <v>3</v>
      </c>
      <c r="F1553" s="227" t="s">
        <v>70</v>
      </c>
      <c r="G1553" s="227" t="s">
        <v>148</v>
      </c>
      <c r="H1553" s="227" t="s">
        <v>311</v>
      </c>
      <c r="I1553" s="237"/>
      <c r="J1553" s="238"/>
      <c r="K1553" s="238"/>
      <c r="L1553" s="238"/>
      <c r="M1553" s="238"/>
      <c r="N1553" s="238"/>
      <c r="O1553" s="238"/>
      <c r="P1553" s="238">
        <f>P1554</f>
        <v>2249000</v>
      </c>
      <c r="Q1553" s="238">
        <f t="shared" si="1365"/>
        <v>0</v>
      </c>
      <c r="R1553" s="238">
        <f t="shared" si="1365"/>
        <v>0</v>
      </c>
      <c r="S1553" s="238">
        <f t="shared" si="1365"/>
        <v>0</v>
      </c>
      <c r="T1553" s="238">
        <f t="shared" si="1365"/>
        <v>0</v>
      </c>
      <c r="U1553" s="238">
        <f t="shared" si="1365"/>
        <v>0</v>
      </c>
      <c r="V1553" s="238">
        <f t="shared" si="1361"/>
        <v>2249000</v>
      </c>
      <c r="W1553" s="238">
        <f t="shared" si="1361"/>
        <v>0</v>
      </c>
      <c r="X1553" s="238">
        <f t="shared" si="1361"/>
        <v>0</v>
      </c>
    </row>
    <row r="1554" spans="1:24" s="229" customFormat="1" ht="25.5" hidden="1">
      <c r="A1554" s="240" t="s">
        <v>260</v>
      </c>
      <c r="B1554" s="227" t="s">
        <v>402</v>
      </c>
      <c r="C1554" s="227" t="s">
        <v>18</v>
      </c>
      <c r="D1554" s="227" t="s">
        <v>13</v>
      </c>
      <c r="E1554" s="227" t="s">
        <v>3</v>
      </c>
      <c r="F1554" s="227" t="s">
        <v>70</v>
      </c>
      <c r="G1554" s="227" t="s">
        <v>148</v>
      </c>
      <c r="H1554" s="227" t="s">
        <v>311</v>
      </c>
      <c r="I1554" s="237" t="s">
        <v>94</v>
      </c>
      <c r="J1554" s="238"/>
      <c r="K1554" s="238"/>
      <c r="L1554" s="238"/>
      <c r="M1554" s="238"/>
      <c r="N1554" s="238"/>
      <c r="O1554" s="238"/>
      <c r="P1554" s="238">
        <f>P1555</f>
        <v>2249000</v>
      </c>
      <c r="Q1554" s="238">
        <f t="shared" si="1365"/>
        <v>0</v>
      </c>
      <c r="R1554" s="238">
        <f t="shared" si="1365"/>
        <v>0</v>
      </c>
      <c r="S1554" s="238">
        <f t="shared" si="1365"/>
        <v>0</v>
      </c>
      <c r="T1554" s="238">
        <f t="shared" si="1365"/>
        <v>0</v>
      </c>
      <c r="U1554" s="238">
        <f t="shared" si="1365"/>
        <v>0</v>
      </c>
      <c r="V1554" s="238">
        <f t="shared" si="1361"/>
        <v>2249000</v>
      </c>
      <c r="W1554" s="238">
        <f t="shared" si="1361"/>
        <v>0</v>
      </c>
      <c r="X1554" s="238">
        <f t="shared" si="1361"/>
        <v>0</v>
      </c>
    </row>
    <row r="1555" spans="1:24" s="229" customFormat="1" ht="25.5" hidden="1">
      <c r="A1555" s="239" t="s">
        <v>98</v>
      </c>
      <c r="B1555" s="227" t="s">
        <v>402</v>
      </c>
      <c r="C1555" s="227" t="s">
        <v>18</v>
      </c>
      <c r="D1555" s="227" t="s">
        <v>13</v>
      </c>
      <c r="E1555" s="227" t="s">
        <v>3</v>
      </c>
      <c r="F1555" s="227" t="s">
        <v>70</v>
      </c>
      <c r="G1555" s="227" t="s">
        <v>148</v>
      </c>
      <c r="H1555" s="227" t="s">
        <v>311</v>
      </c>
      <c r="I1555" s="237" t="s">
        <v>95</v>
      </c>
      <c r="J1555" s="238"/>
      <c r="K1555" s="238"/>
      <c r="L1555" s="238"/>
      <c r="M1555" s="238"/>
      <c r="N1555" s="238"/>
      <c r="O1555" s="238"/>
      <c r="P1555" s="238">
        <v>2249000</v>
      </c>
      <c r="Q1555" s="238">
        <f t="shared" ref="Q1555:R1555" si="1366">K1555+N1555</f>
        <v>0</v>
      </c>
      <c r="R1555" s="238">
        <f t="shared" si="1366"/>
        <v>0</v>
      </c>
      <c r="S1555" s="238"/>
      <c r="T1555" s="238"/>
      <c r="U1555" s="238"/>
      <c r="V1555" s="238">
        <f t="shared" si="1361"/>
        <v>2249000</v>
      </c>
      <c r="W1555" s="238">
        <f t="shared" si="1361"/>
        <v>0</v>
      </c>
      <c r="X1555" s="238">
        <f t="shared" si="1361"/>
        <v>0</v>
      </c>
    </row>
    <row r="1556" spans="1:24" s="229" customFormat="1" hidden="1">
      <c r="A1556" s="235" t="s">
        <v>83</v>
      </c>
      <c r="B1556" s="227" t="s">
        <v>402</v>
      </c>
      <c r="C1556" s="227" t="s">
        <v>18</v>
      </c>
      <c r="D1556" s="227" t="s">
        <v>13</v>
      </c>
      <c r="E1556" s="227" t="s">
        <v>82</v>
      </c>
      <c r="F1556" s="227" t="s">
        <v>70</v>
      </c>
      <c r="G1556" s="227" t="s">
        <v>148</v>
      </c>
      <c r="H1556" s="227" t="s">
        <v>149</v>
      </c>
      <c r="I1556" s="237"/>
      <c r="J1556" s="238"/>
      <c r="K1556" s="238"/>
      <c r="L1556" s="238"/>
      <c r="M1556" s="238"/>
      <c r="N1556" s="238"/>
      <c r="O1556" s="238"/>
      <c r="P1556" s="238">
        <f>P1557+P1560</f>
        <v>497764</v>
      </c>
      <c r="Q1556" s="238">
        <f t="shared" ref="Q1556:U1556" si="1367">Q1557+Q1560</f>
        <v>502063.44</v>
      </c>
      <c r="R1556" s="238">
        <f t="shared" si="1367"/>
        <v>445423.86</v>
      </c>
      <c r="S1556" s="238">
        <f t="shared" si="1367"/>
        <v>0</v>
      </c>
      <c r="T1556" s="238">
        <f t="shared" si="1367"/>
        <v>0</v>
      </c>
      <c r="U1556" s="238">
        <f t="shared" si="1367"/>
        <v>0</v>
      </c>
      <c r="V1556" s="238">
        <f t="shared" si="1361"/>
        <v>497764</v>
      </c>
      <c r="W1556" s="238">
        <f t="shared" si="1361"/>
        <v>502063.44</v>
      </c>
      <c r="X1556" s="238">
        <f t="shared" si="1361"/>
        <v>445423.86</v>
      </c>
    </row>
    <row r="1557" spans="1:24" s="229" customFormat="1" ht="14.25" hidden="1">
      <c r="A1557" s="283" t="s">
        <v>362</v>
      </c>
      <c r="B1557" s="227" t="s">
        <v>402</v>
      </c>
      <c r="C1557" s="227" t="s">
        <v>18</v>
      </c>
      <c r="D1557" s="227" t="s">
        <v>13</v>
      </c>
      <c r="E1557" s="227" t="s">
        <v>82</v>
      </c>
      <c r="F1557" s="227" t="s">
        <v>70</v>
      </c>
      <c r="G1557" s="227" t="s">
        <v>148</v>
      </c>
      <c r="H1557" s="227" t="s">
        <v>361</v>
      </c>
      <c r="I1557" s="237"/>
      <c r="J1557" s="238"/>
      <c r="K1557" s="238"/>
      <c r="L1557" s="238"/>
      <c r="M1557" s="238"/>
      <c r="N1557" s="238"/>
      <c r="O1557" s="238"/>
      <c r="P1557" s="238">
        <f>P1558</f>
        <v>40725</v>
      </c>
      <c r="Q1557" s="238">
        <f t="shared" ref="Q1557:U1558" si="1368">Q1558</f>
        <v>40725</v>
      </c>
      <c r="R1557" s="238">
        <f t="shared" si="1368"/>
        <v>40725</v>
      </c>
      <c r="S1557" s="238">
        <f t="shared" si="1368"/>
        <v>0</v>
      </c>
      <c r="T1557" s="238">
        <f t="shared" si="1368"/>
        <v>0</v>
      </c>
      <c r="U1557" s="238">
        <f t="shared" si="1368"/>
        <v>0</v>
      </c>
      <c r="V1557" s="238">
        <f t="shared" si="1361"/>
        <v>40725</v>
      </c>
      <c r="W1557" s="238">
        <f t="shared" si="1361"/>
        <v>40725</v>
      </c>
      <c r="X1557" s="238">
        <f t="shared" si="1361"/>
        <v>40725</v>
      </c>
    </row>
    <row r="1558" spans="1:24" s="229" customFormat="1" ht="25.5" hidden="1">
      <c r="A1558" s="240" t="s">
        <v>260</v>
      </c>
      <c r="B1558" s="227" t="s">
        <v>402</v>
      </c>
      <c r="C1558" s="227" t="s">
        <v>18</v>
      </c>
      <c r="D1558" s="227" t="s">
        <v>13</v>
      </c>
      <c r="E1558" s="227" t="s">
        <v>82</v>
      </c>
      <c r="F1558" s="227" t="s">
        <v>70</v>
      </c>
      <c r="G1558" s="227" t="s">
        <v>148</v>
      </c>
      <c r="H1558" s="227" t="s">
        <v>361</v>
      </c>
      <c r="I1558" s="237" t="s">
        <v>94</v>
      </c>
      <c r="J1558" s="238"/>
      <c r="K1558" s="238"/>
      <c r="L1558" s="238"/>
      <c r="M1558" s="238"/>
      <c r="N1558" s="238"/>
      <c r="O1558" s="238"/>
      <c r="P1558" s="238">
        <f>P1559</f>
        <v>40725</v>
      </c>
      <c r="Q1558" s="238">
        <v>40725</v>
      </c>
      <c r="R1558" s="238">
        <v>40725</v>
      </c>
      <c r="S1558" s="238">
        <f t="shared" si="1368"/>
        <v>0</v>
      </c>
      <c r="T1558" s="238">
        <f t="shared" si="1368"/>
        <v>0</v>
      </c>
      <c r="U1558" s="238">
        <f t="shared" si="1368"/>
        <v>0</v>
      </c>
      <c r="V1558" s="238">
        <f t="shared" ref="V1558:X1562" si="1369">P1558+S1558</f>
        <v>40725</v>
      </c>
      <c r="W1558" s="238">
        <f t="shared" si="1369"/>
        <v>40725</v>
      </c>
      <c r="X1558" s="238">
        <f t="shared" si="1369"/>
        <v>40725</v>
      </c>
    </row>
    <row r="1559" spans="1:24" s="229" customFormat="1" ht="25.5" hidden="1">
      <c r="A1559" s="239" t="s">
        <v>98</v>
      </c>
      <c r="B1559" s="227" t="s">
        <v>402</v>
      </c>
      <c r="C1559" s="227" t="s">
        <v>18</v>
      </c>
      <c r="D1559" s="227" t="s">
        <v>13</v>
      </c>
      <c r="E1559" s="227" t="s">
        <v>82</v>
      </c>
      <c r="F1559" s="227" t="s">
        <v>70</v>
      </c>
      <c r="G1559" s="227" t="s">
        <v>148</v>
      </c>
      <c r="H1559" s="227" t="s">
        <v>361</v>
      </c>
      <c r="I1559" s="237" t="s">
        <v>95</v>
      </c>
      <c r="J1559" s="238"/>
      <c r="K1559" s="238"/>
      <c r="L1559" s="238"/>
      <c r="M1559" s="238"/>
      <c r="N1559" s="238"/>
      <c r="O1559" s="238"/>
      <c r="P1559" s="238">
        <v>40725</v>
      </c>
      <c r="Q1559" s="238">
        <v>40725</v>
      </c>
      <c r="R1559" s="238">
        <v>40725</v>
      </c>
      <c r="S1559" s="238"/>
      <c r="T1559" s="238"/>
      <c r="U1559" s="238"/>
      <c r="V1559" s="238">
        <f t="shared" si="1369"/>
        <v>40725</v>
      </c>
      <c r="W1559" s="238">
        <f t="shared" si="1369"/>
        <v>40725</v>
      </c>
      <c r="X1559" s="238">
        <f t="shared" si="1369"/>
        <v>40725</v>
      </c>
    </row>
    <row r="1560" spans="1:24" s="229" customFormat="1" hidden="1">
      <c r="A1560" s="239" t="s">
        <v>367</v>
      </c>
      <c r="B1560" s="227" t="s">
        <v>402</v>
      </c>
      <c r="C1560" s="227" t="s">
        <v>18</v>
      </c>
      <c r="D1560" s="227" t="s">
        <v>13</v>
      </c>
      <c r="E1560" s="227" t="s">
        <v>82</v>
      </c>
      <c r="F1560" s="227" t="s">
        <v>70</v>
      </c>
      <c r="G1560" s="227" t="s">
        <v>148</v>
      </c>
      <c r="H1560" s="227" t="s">
        <v>360</v>
      </c>
      <c r="I1560" s="237"/>
      <c r="J1560" s="238"/>
      <c r="K1560" s="238"/>
      <c r="L1560" s="238"/>
      <c r="M1560" s="238"/>
      <c r="N1560" s="238"/>
      <c r="O1560" s="238"/>
      <c r="P1560" s="238">
        <f>P1561</f>
        <v>457039</v>
      </c>
      <c r="Q1560" s="238">
        <f t="shared" ref="Q1560:U1561" si="1370">Q1561</f>
        <v>461338.44</v>
      </c>
      <c r="R1560" s="238">
        <f t="shared" si="1370"/>
        <v>404698.86</v>
      </c>
      <c r="S1560" s="238">
        <f t="shared" si="1370"/>
        <v>0</v>
      </c>
      <c r="T1560" s="238">
        <f t="shared" si="1370"/>
        <v>0</v>
      </c>
      <c r="U1560" s="238">
        <f t="shared" si="1370"/>
        <v>0</v>
      </c>
      <c r="V1560" s="238">
        <f t="shared" si="1369"/>
        <v>457039</v>
      </c>
      <c r="W1560" s="238">
        <f t="shared" si="1369"/>
        <v>461338.44</v>
      </c>
      <c r="X1560" s="238">
        <f t="shared" si="1369"/>
        <v>404698.86</v>
      </c>
    </row>
    <row r="1561" spans="1:24" s="229" customFormat="1" ht="25.5" hidden="1">
      <c r="A1561" s="240" t="s">
        <v>260</v>
      </c>
      <c r="B1561" s="227" t="s">
        <v>402</v>
      </c>
      <c r="C1561" s="227" t="s">
        <v>18</v>
      </c>
      <c r="D1561" s="227" t="s">
        <v>13</v>
      </c>
      <c r="E1561" s="227" t="s">
        <v>82</v>
      </c>
      <c r="F1561" s="227" t="s">
        <v>70</v>
      </c>
      <c r="G1561" s="227" t="s">
        <v>148</v>
      </c>
      <c r="H1561" s="227" t="s">
        <v>360</v>
      </c>
      <c r="I1561" s="237" t="s">
        <v>94</v>
      </c>
      <c r="J1561" s="238"/>
      <c r="K1561" s="238"/>
      <c r="L1561" s="238"/>
      <c r="M1561" s="238"/>
      <c r="N1561" s="238"/>
      <c r="O1561" s="238"/>
      <c r="P1561" s="238">
        <f>P1562</f>
        <v>457039</v>
      </c>
      <c r="Q1561" s="238">
        <f t="shared" si="1370"/>
        <v>461338.44</v>
      </c>
      <c r="R1561" s="238">
        <f t="shared" si="1370"/>
        <v>404698.86</v>
      </c>
      <c r="S1561" s="238">
        <f t="shared" si="1370"/>
        <v>0</v>
      </c>
      <c r="T1561" s="238">
        <f t="shared" si="1370"/>
        <v>0</v>
      </c>
      <c r="U1561" s="238">
        <f t="shared" si="1370"/>
        <v>0</v>
      </c>
      <c r="V1561" s="238">
        <f t="shared" si="1369"/>
        <v>457039</v>
      </c>
      <c r="W1561" s="238">
        <f t="shared" si="1369"/>
        <v>461338.44</v>
      </c>
      <c r="X1561" s="238">
        <f t="shared" si="1369"/>
        <v>404698.86</v>
      </c>
    </row>
    <row r="1562" spans="1:24" s="229" customFormat="1" ht="25.5" hidden="1">
      <c r="A1562" s="239" t="s">
        <v>98</v>
      </c>
      <c r="B1562" s="227" t="s">
        <v>402</v>
      </c>
      <c r="C1562" s="227" t="s">
        <v>18</v>
      </c>
      <c r="D1562" s="227" t="s">
        <v>13</v>
      </c>
      <c r="E1562" s="227" t="s">
        <v>82</v>
      </c>
      <c r="F1562" s="227" t="s">
        <v>70</v>
      </c>
      <c r="G1562" s="227" t="s">
        <v>148</v>
      </c>
      <c r="H1562" s="227" t="s">
        <v>360</v>
      </c>
      <c r="I1562" s="237" t="s">
        <v>95</v>
      </c>
      <c r="J1562" s="238"/>
      <c r="K1562" s="238"/>
      <c r="L1562" s="238"/>
      <c r="M1562" s="238"/>
      <c r="N1562" s="238"/>
      <c r="O1562" s="238"/>
      <c r="P1562" s="238">
        <f>349553+107486</f>
        <v>457039</v>
      </c>
      <c r="Q1562" s="238">
        <f>347398.44+113940</f>
        <v>461338.44</v>
      </c>
      <c r="R1562" s="238">
        <f>285058.86+119640</f>
        <v>404698.86</v>
      </c>
      <c r="S1562" s="238"/>
      <c r="T1562" s="238"/>
      <c r="U1562" s="238"/>
      <c r="V1562" s="238">
        <f t="shared" si="1369"/>
        <v>457039</v>
      </c>
      <c r="W1562" s="238">
        <f t="shared" si="1369"/>
        <v>461338.44</v>
      </c>
      <c r="X1562" s="238">
        <f t="shared" si="1369"/>
        <v>404698.86</v>
      </c>
    </row>
    <row r="1563" spans="1:24" s="222" customFormat="1" ht="15.75" hidden="1">
      <c r="A1563" s="221" t="s">
        <v>467</v>
      </c>
      <c r="P1563" s="223">
        <f t="shared" ref="P1563:X1563" si="1371">P1564+P1574+P1582+P1591+P1597</f>
        <v>6529361.7199999997</v>
      </c>
      <c r="Q1563" s="223">
        <f t="shared" si="1371"/>
        <v>4706142.3600000003</v>
      </c>
      <c r="R1563" s="223">
        <f t="shared" si="1371"/>
        <v>4604498.37</v>
      </c>
      <c r="S1563" s="223">
        <f t="shared" si="1371"/>
        <v>0</v>
      </c>
      <c r="T1563" s="223">
        <f t="shared" si="1371"/>
        <v>0</v>
      </c>
      <c r="U1563" s="223">
        <f t="shared" si="1371"/>
        <v>0</v>
      </c>
      <c r="V1563" s="223">
        <f t="shared" si="1371"/>
        <v>6529361.7199999997</v>
      </c>
      <c r="W1563" s="223">
        <f t="shared" si="1371"/>
        <v>4706142.3600000003</v>
      </c>
      <c r="X1563" s="223">
        <f t="shared" si="1371"/>
        <v>4604498.37</v>
      </c>
    </row>
    <row r="1564" spans="1:24" s="229" customFormat="1" ht="15.75" hidden="1">
      <c r="A1564" s="225" t="s">
        <v>32</v>
      </c>
      <c r="B1564" s="226" t="s">
        <v>402</v>
      </c>
      <c r="C1564" s="226" t="s">
        <v>20</v>
      </c>
      <c r="D1564" s="227"/>
      <c r="E1564" s="227"/>
      <c r="F1564" s="227"/>
      <c r="G1564" s="227"/>
      <c r="H1564" s="227"/>
      <c r="I1564" s="227"/>
      <c r="J1564" s="228"/>
      <c r="K1564" s="228"/>
      <c r="L1564" s="228"/>
      <c r="M1564" s="228"/>
      <c r="N1564" s="228"/>
      <c r="O1564" s="228"/>
      <c r="P1564" s="228">
        <f>P1565</f>
        <v>4249902</v>
      </c>
      <c r="Q1564" s="228">
        <f t="shared" ref="Q1564:U1566" si="1372">Q1565</f>
        <v>4292277.6000000006</v>
      </c>
      <c r="R1564" s="228">
        <f t="shared" si="1372"/>
        <v>4246827.74</v>
      </c>
      <c r="S1564" s="228">
        <f t="shared" si="1372"/>
        <v>0</v>
      </c>
      <c r="T1564" s="228">
        <f t="shared" si="1372"/>
        <v>0</v>
      </c>
      <c r="U1564" s="228">
        <f t="shared" si="1372"/>
        <v>0</v>
      </c>
      <c r="V1564" s="228">
        <f t="shared" ref="V1564:X1579" si="1373">P1564+S1564</f>
        <v>4249902</v>
      </c>
      <c r="W1564" s="228">
        <f t="shared" si="1373"/>
        <v>4292277.6000000006</v>
      </c>
      <c r="X1564" s="228">
        <f t="shared" si="1373"/>
        <v>4246827.74</v>
      </c>
    </row>
    <row r="1565" spans="1:24" s="229" customFormat="1" ht="38.25" hidden="1">
      <c r="A1565" s="230" t="s">
        <v>0</v>
      </c>
      <c r="B1565" s="231" t="s">
        <v>402</v>
      </c>
      <c r="C1565" s="231" t="s">
        <v>20</v>
      </c>
      <c r="D1565" s="231" t="s">
        <v>16</v>
      </c>
      <c r="E1565" s="231"/>
      <c r="F1565" s="231"/>
      <c r="G1565" s="231"/>
      <c r="H1565" s="227"/>
      <c r="I1565" s="237"/>
      <c r="J1565" s="234"/>
      <c r="K1565" s="234"/>
      <c r="L1565" s="234"/>
      <c r="M1565" s="234"/>
      <c r="N1565" s="234"/>
      <c r="O1565" s="234"/>
      <c r="P1565" s="234">
        <f>P1566</f>
        <v>4249902</v>
      </c>
      <c r="Q1565" s="234">
        <f t="shared" si="1372"/>
        <v>4292277.6000000006</v>
      </c>
      <c r="R1565" s="234">
        <f t="shared" si="1372"/>
        <v>4246827.74</v>
      </c>
      <c r="S1565" s="234">
        <f t="shared" si="1372"/>
        <v>0</v>
      </c>
      <c r="T1565" s="234">
        <f t="shared" si="1372"/>
        <v>0</v>
      </c>
      <c r="U1565" s="234">
        <f t="shared" si="1372"/>
        <v>0</v>
      </c>
      <c r="V1565" s="234">
        <f t="shared" si="1373"/>
        <v>4249902</v>
      </c>
      <c r="W1565" s="234">
        <f t="shared" si="1373"/>
        <v>4292277.6000000006</v>
      </c>
      <c r="X1565" s="234">
        <f t="shared" si="1373"/>
        <v>4246827.74</v>
      </c>
    </row>
    <row r="1566" spans="1:24" s="229" customFormat="1" hidden="1">
      <c r="A1566" s="235" t="s">
        <v>83</v>
      </c>
      <c r="B1566" s="227" t="s">
        <v>402</v>
      </c>
      <c r="C1566" s="227" t="s">
        <v>20</v>
      </c>
      <c r="D1566" s="227" t="s">
        <v>16</v>
      </c>
      <c r="E1566" s="227" t="s">
        <v>82</v>
      </c>
      <c r="F1566" s="227" t="s">
        <v>70</v>
      </c>
      <c r="G1566" s="227" t="s">
        <v>148</v>
      </c>
      <c r="H1566" s="227" t="s">
        <v>149</v>
      </c>
      <c r="I1566" s="237"/>
      <c r="J1566" s="238"/>
      <c r="K1566" s="238"/>
      <c r="L1566" s="238"/>
      <c r="M1566" s="238"/>
      <c r="N1566" s="238"/>
      <c r="O1566" s="238"/>
      <c r="P1566" s="238">
        <f>P1567</f>
        <v>4249902</v>
      </c>
      <c r="Q1566" s="238">
        <f t="shared" si="1372"/>
        <v>4292277.6000000006</v>
      </c>
      <c r="R1566" s="238">
        <f t="shared" si="1372"/>
        <v>4246827.74</v>
      </c>
      <c r="S1566" s="238">
        <f t="shared" si="1372"/>
        <v>0</v>
      </c>
      <c r="T1566" s="238">
        <f t="shared" si="1372"/>
        <v>0</v>
      </c>
      <c r="U1566" s="238">
        <f t="shared" si="1372"/>
        <v>0</v>
      </c>
      <c r="V1566" s="238">
        <f t="shared" si="1373"/>
        <v>4249902</v>
      </c>
      <c r="W1566" s="238">
        <f t="shared" si="1373"/>
        <v>4292277.6000000006</v>
      </c>
      <c r="X1566" s="238">
        <f t="shared" si="1373"/>
        <v>4246827.74</v>
      </c>
    </row>
    <row r="1567" spans="1:24" s="229" customFormat="1" ht="25.5" hidden="1">
      <c r="A1567" s="235" t="s">
        <v>87</v>
      </c>
      <c r="B1567" s="227" t="s">
        <v>402</v>
      </c>
      <c r="C1567" s="227" t="s">
        <v>20</v>
      </c>
      <c r="D1567" s="227" t="s">
        <v>16</v>
      </c>
      <c r="E1567" s="227" t="s">
        <v>82</v>
      </c>
      <c r="F1567" s="227" t="s">
        <v>70</v>
      </c>
      <c r="G1567" s="227" t="s">
        <v>148</v>
      </c>
      <c r="H1567" s="227" t="s">
        <v>158</v>
      </c>
      <c r="I1567" s="237"/>
      <c r="J1567" s="238"/>
      <c r="K1567" s="238"/>
      <c r="L1567" s="238"/>
      <c r="M1567" s="238"/>
      <c r="N1567" s="238"/>
      <c r="O1567" s="238"/>
      <c r="P1567" s="238">
        <f>P1568+P1570+P1572</f>
        <v>4249902</v>
      </c>
      <c r="Q1567" s="238">
        <f t="shared" ref="Q1567:U1567" si="1374">Q1568+Q1570+Q1572</f>
        <v>4292277.6000000006</v>
      </c>
      <c r="R1567" s="238">
        <f t="shared" si="1374"/>
        <v>4246827.74</v>
      </c>
      <c r="S1567" s="238">
        <f t="shared" si="1374"/>
        <v>0</v>
      </c>
      <c r="T1567" s="238">
        <f t="shared" si="1374"/>
        <v>0</v>
      </c>
      <c r="U1567" s="238">
        <f t="shared" si="1374"/>
        <v>0</v>
      </c>
      <c r="V1567" s="238">
        <f t="shared" si="1373"/>
        <v>4249902</v>
      </c>
      <c r="W1567" s="238">
        <f t="shared" si="1373"/>
        <v>4292277.6000000006</v>
      </c>
      <c r="X1567" s="238">
        <f t="shared" si="1373"/>
        <v>4246827.74</v>
      </c>
    </row>
    <row r="1568" spans="1:24" s="229" customFormat="1" ht="38.25" hidden="1">
      <c r="A1568" s="239" t="s">
        <v>96</v>
      </c>
      <c r="B1568" s="227" t="s">
        <v>402</v>
      </c>
      <c r="C1568" s="227" t="s">
        <v>20</v>
      </c>
      <c r="D1568" s="227" t="s">
        <v>16</v>
      </c>
      <c r="E1568" s="227" t="s">
        <v>82</v>
      </c>
      <c r="F1568" s="227" t="s">
        <v>70</v>
      </c>
      <c r="G1568" s="227" t="s">
        <v>148</v>
      </c>
      <c r="H1568" s="227" t="s">
        <v>158</v>
      </c>
      <c r="I1568" s="237" t="s">
        <v>92</v>
      </c>
      <c r="J1568" s="238"/>
      <c r="K1568" s="238"/>
      <c r="L1568" s="238"/>
      <c r="M1568" s="238"/>
      <c r="N1568" s="238"/>
      <c r="O1568" s="238"/>
      <c r="P1568" s="238">
        <f>P1569</f>
        <v>3993053</v>
      </c>
      <c r="Q1568" s="238">
        <f t="shared" ref="Q1568:U1568" si="1375">Q1569</f>
        <v>4031851.72</v>
      </c>
      <c r="R1568" s="238">
        <f t="shared" si="1375"/>
        <v>4031037.94</v>
      </c>
      <c r="S1568" s="238">
        <f t="shared" si="1375"/>
        <v>0</v>
      </c>
      <c r="T1568" s="238">
        <f t="shared" si="1375"/>
        <v>0</v>
      </c>
      <c r="U1568" s="238">
        <f t="shared" si="1375"/>
        <v>0</v>
      </c>
      <c r="V1568" s="238">
        <f t="shared" si="1373"/>
        <v>3993053</v>
      </c>
      <c r="W1568" s="238">
        <f t="shared" si="1373"/>
        <v>4031851.72</v>
      </c>
      <c r="X1568" s="238">
        <f t="shared" si="1373"/>
        <v>4031037.94</v>
      </c>
    </row>
    <row r="1569" spans="1:24" s="229" customFormat="1" hidden="1">
      <c r="A1569" s="239" t="s">
        <v>103</v>
      </c>
      <c r="B1569" s="227" t="s">
        <v>402</v>
      </c>
      <c r="C1569" s="227" t="s">
        <v>20</v>
      </c>
      <c r="D1569" s="227" t="s">
        <v>16</v>
      </c>
      <c r="E1569" s="227" t="s">
        <v>82</v>
      </c>
      <c r="F1569" s="227" t="s">
        <v>70</v>
      </c>
      <c r="G1569" s="227" t="s">
        <v>148</v>
      </c>
      <c r="H1569" s="227" t="s">
        <v>158</v>
      </c>
      <c r="I1569" s="237" t="s">
        <v>102</v>
      </c>
      <c r="J1569" s="238"/>
      <c r="K1569" s="238"/>
      <c r="L1569" s="238"/>
      <c r="M1569" s="238"/>
      <c r="N1569" s="238"/>
      <c r="O1569" s="238"/>
      <c r="P1569" s="238">
        <f>2979896.31+113228+899928.69</f>
        <v>3993053</v>
      </c>
      <c r="Q1569" s="238">
        <f>3009695.64+113228+908928.08</f>
        <v>4031851.72</v>
      </c>
      <c r="R1569" s="238">
        <f>3039792.58+73228+918017.36</f>
        <v>4031037.94</v>
      </c>
      <c r="S1569" s="238"/>
      <c r="T1569" s="238"/>
      <c r="U1569" s="238"/>
      <c r="V1569" s="238">
        <f t="shared" si="1373"/>
        <v>3993053</v>
      </c>
      <c r="W1569" s="238">
        <f t="shared" si="1373"/>
        <v>4031851.72</v>
      </c>
      <c r="X1569" s="238">
        <f t="shared" si="1373"/>
        <v>4031037.94</v>
      </c>
    </row>
    <row r="1570" spans="1:24" s="229" customFormat="1" ht="25.5" hidden="1">
      <c r="A1570" s="240" t="s">
        <v>260</v>
      </c>
      <c r="B1570" s="227" t="s">
        <v>402</v>
      </c>
      <c r="C1570" s="227" t="s">
        <v>20</v>
      </c>
      <c r="D1570" s="227" t="s">
        <v>16</v>
      </c>
      <c r="E1570" s="227" t="s">
        <v>82</v>
      </c>
      <c r="F1570" s="227" t="s">
        <v>70</v>
      </c>
      <c r="G1570" s="227" t="s">
        <v>148</v>
      </c>
      <c r="H1570" s="227" t="s">
        <v>158</v>
      </c>
      <c r="I1570" s="237" t="s">
        <v>94</v>
      </c>
      <c r="J1570" s="238"/>
      <c r="K1570" s="238"/>
      <c r="L1570" s="238"/>
      <c r="M1570" s="238"/>
      <c r="N1570" s="238"/>
      <c r="O1570" s="238"/>
      <c r="P1570" s="238">
        <f>P1571</f>
        <v>254349</v>
      </c>
      <c r="Q1570" s="238">
        <f t="shared" ref="Q1570:U1570" si="1376">Q1571</f>
        <v>257925.88</v>
      </c>
      <c r="R1570" s="238">
        <f t="shared" si="1376"/>
        <v>213289.8</v>
      </c>
      <c r="S1570" s="238">
        <f t="shared" si="1376"/>
        <v>0</v>
      </c>
      <c r="T1570" s="238">
        <f t="shared" si="1376"/>
        <v>0</v>
      </c>
      <c r="U1570" s="238">
        <f t="shared" si="1376"/>
        <v>0</v>
      </c>
      <c r="V1570" s="238">
        <f t="shared" si="1373"/>
        <v>254349</v>
      </c>
      <c r="W1570" s="238">
        <f t="shared" si="1373"/>
        <v>257925.88</v>
      </c>
      <c r="X1570" s="238">
        <f t="shared" si="1373"/>
        <v>213289.8</v>
      </c>
    </row>
    <row r="1571" spans="1:24" s="229" customFormat="1" ht="25.5" hidden="1">
      <c r="A1571" s="239" t="s">
        <v>98</v>
      </c>
      <c r="B1571" s="227" t="s">
        <v>402</v>
      </c>
      <c r="C1571" s="227" t="s">
        <v>20</v>
      </c>
      <c r="D1571" s="227" t="s">
        <v>16</v>
      </c>
      <c r="E1571" s="227" t="s">
        <v>82</v>
      </c>
      <c r="F1571" s="227" t="s">
        <v>70</v>
      </c>
      <c r="G1571" s="227" t="s">
        <v>148</v>
      </c>
      <c r="H1571" s="227" t="s">
        <v>158</v>
      </c>
      <c r="I1571" s="237" t="s">
        <v>95</v>
      </c>
      <c r="J1571" s="238"/>
      <c r="K1571" s="238"/>
      <c r="L1571" s="238"/>
      <c r="M1571" s="238"/>
      <c r="N1571" s="238"/>
      <c r="O1571" s="238"/>
      <c r="P1571" s="238">
        <f>164952+89397</f>
        <v>254349</v>
      </c>
      <c r="Q1571" s="238">
        <f>164953+92972.88</f>
        <v>257925.88</v>
      </c>
      <c r="R1571" s="238">
        <f>116598+96691.8</f>
        <v>213289.8</v>
      </c>
      <c r="S1571" s="238"/>
      <c r="T1571" s="238"/>
      <c r="U1571" s="238"/>
      <c r="V1571" s="238">
        <f t="shared" si="1373"/>
        <v>254349</v>
      </c>
      <c r="W1571" s="238">
        <f t="shared" si="1373"/>
        <v>257925.88</v>
      </c>
      <c r="X1571" s="238">
        <f t="shared" si="1373"/>
        <v>213289.8</v>
      </c>
    </row>
    <row r="1572" spans="1:24" s="229" customFormat="1" hidden="1">
      <c r="A1572" s="239" t="s">
        <v>80</v>
      </c>
      <c r="B1572" s="227" t="s">
        <v>402</v>
      </c>
      <c r="C1572" s="227" t="s">
        <v>20</v>
      </c>
      <c r="D1572" s="227" t="s">
        <v>16</v>
      </c>
      <c r="E1572" s="227" t="s">
        <v>82</v>
      </c>
      <c r="F1572" s="227" t="s">
        <v>70</v>
      </c>
      <c r="G1572" s="227" t="s">
        <v>148</v>
      </c>
      <c r="H1572" s="227" t="s">
        <v>158</v>
      </c>
      <c r="I1572" s="237" t="s">
        <v>77</v>
      </c>
      <c r="J1572" s="238"/>
      <c r="K1572" s="238"/>
      <c r="L1572" s="238"/>
      <c r="M1572" s="238"/>
      <c r="N1572" s="238"/>
      <c r="O1572" s="238"/>
      <c r="P1572" s="238">
        <f>P1573</f>
        <v>2500</v>
      </c>
      <c r="Q1572" s="238">
        <f t="shared" ref="Q1572:U1572" si="1377">Q1573</f>
        <v>2500</v>
      </c>
      <c r="R1572" s="238">
        <f t="shared" si="1377"/>
        <v>2500</v>
      </c>
      <c r="S1572" s="238">
        <f t="shared" si="1377"/>
        <v>0</v>
      </c>
      <c r="T1572" s="238">
        <f t="shared" si="1377"/>
        <v>0</v>
      </c>
      <c r="U1572" s="238">
        <f t="shared" si="1377"/>
        <v>0</v>
      </c>
      <c r="V1572" s="238">
        <f t="shared" si="1373"/>
        <v>2500</v>
      </c>
      <c r="W1572" s="238">
        <f t="shared" si="1373"/>
        <v>2500</v>
      </c>
      <c r="X1572" s="238">
        <f t="shared" si="1373"/>
        <v>2500</v>
      </c>
    </row>
    <row r="1573" spans="1:24" s="229" customFormat="1" hidden="1">
      <c r="A1573" s="241" t="s">
        <v>125</v>
      </c>
      <c r="B1573" s="227" t="s">
        <v>402</v>
      </c>
      <c r="C1573" s="227" t="s">
        <v>20</v>
      </c>
      <c r="D1573" s="227" t="s">
        <v>16</v>
      </c>
      <c r="E1573" s="227" t="s">
        <v>82</v>
      </c>
      <c r="F1573" s="227" t="s">
        <v>70</v>
      </c>
      <c r="G1573" s="227" t="s">
        <v>148</v>
      </c>
      <c r="H1573" s="227" t="s">
        <v>158</v>
      </c>
      <c r="I1573" s="237" t="s">
        <v>124</v>
      </c>
      <c r="J1573" s="238"/>
      <c r="K1573" s="238"/>
      <c r="L1573" s="238"/>
      <c r="M1573" s="238"/>
      <c r="N1573" s="238"/>
      <c r="O1573" s="238"/>
      <c r="P1573" s="238">
        <f>500+2000</f>
        <v>2500</v>
      </c>
      <c r="Q1573" s="238">
        <v>2500</v>
      </c>
      <c r="R1573" s="238">
        <v>2500</v>
      </c>
      <c r="S1573" s="238"/>
      <c r="T1573" s="238"/>
      <c r="U1573" s="238"/>
      <c r="V1573" s="238">
        <f t="shared" si="1373"/>
        <v>2500</v>
      </c>
      <c r="W1573" s="238">
        <f t="shared" si="1373"/>
        <v>2500</v>
      </c>
      <c r="X1573" s="238">
        <f t="shared" si="1373"/>
        <v>2500</v>
      </c>
    </row>
    <row r="1574" spans="1:24" s="229" customFormat="1" ht="15.75" hidden="1">
      <c r="A1574" s="249" t="s">
        <v>54</v>
      </c>
      <c r="B1574" s="226" t="s">
        <v>402</v>
      </c>
      <c r="C1574" s="226" t="s">
        <v>17</v>
      </c>
      <c r="D1574" s="227"/>
      <c r="E1574" s="227"/>
      <c r="F1574" s="227"/>
      <c r="G1574" s="227"/>
      <c r="H1574" s="227"/>
      <c r="I1574" s="237"/>
      <c r="J1574" s="228"/>
      <c r="K1574" s="228"/>
      <c r="L1574" s="228"/>
      <c r="M1574" s="228"/>
      <c r="N1574" s="228"/>
      <c r="O1574" s="228"/>
      <c r="P1574" s="228">
        <f>P1575</f>
        <v>63322.720000000001</v>
      </c>
      <c r="Q1574" s="228">
        <f t="shared" ref="Q1574:U1576" si="1378">Q1575</f>
        <v>0</v>
      </c>
      <c r="R1574" s="228">
        <f t="shared" si="1378"/>
        <v>0</v>
      </c>
      <c r="S1574" s="228">
        <f t="shared" si="1378"/>
        <v>0</v>
      </c>
      <c r="T1574" s="228">
        <f t="shared" si="1378"/>
        <v>0</v>
      </c>
      <c r="U1574" s="228">
        <f t="shared" si="1378"/>
        <v>0</v>
      </c>
      <c r="V1574" s="228">
        <f t="shared" si="1373"/>
        <v>63322.720000000001</v>
      </c>
      <c r="W1574" s="228">
        <f t="shared" si="1373"/>
        <v>0</v>
      </c>
      <c r="X1574" s="228">
        <f t="shared" si="1373"/>
        <v>0</v>
      </c>
    </row>
    <row r="1575" spans="1:24" s="229" customFormat="1" hidden="1">
      <c r="A1575" s="250" t="s">
        <v>55</v>
      </c>
      <c r="B1575" s="232" t="s">
        <v>402</v>
      </c>
      <c r="C1575" s="232" t="s">
        <v>17</v>
      </c>
      <c r="D1575" s="232" t="s">
        <v>13</v>
      </c>
      <c r="E1575" s="232"/>
      <c r="F1575" s="232"/>
      <c r="G1575" s="232"/>
      <c r="H1575" s="232"/>
      <c r="I1575" s="233"/>
      <c r="J1575" s="234"/>
      <c r="K1575" s="234"/>
      <c r="L1575" s="234"/>
      <c r="M1575" s="234"/>
      <c r="N1575" s="234"/>
      <c r="O1575" s="234"/>
      <c r="P1575" s="234">
        <f>P1576</f>
        <v>63322.720000000001</v>
      </c>
      <c r="Q1575" s="234">
        <f t="shared" si="1378"/>
        <v>0</v>
      </c>
      <c r="R1575" s="234">
        <f t="shared" si="1378"/>
        <v>0</v>
      </c>
      <c r="S1575" s="234">
        <f t="shared" si="1378"/>
        <v>0</v>
      </c>
      <c r="T1575" s="234">
        <f t="shared" si="1378"/>
        <v>0</v>
      </c>
      <c r="U1575" s="234">
        <f t="shared" si="1378"/>
        <v>0</v>
      </c>
      <c r="V1575" s="234">
        <f t="shared" si="1373"/>
        <v>63322.720000000001</v>
      </c>
      <c r="W1575" s="234">
        <f t="shared" si="1373"/>
        <v>0</v>
      </c>
      <c r="X1575" s="234">
        <f t="shared" si="1373"/>
        <v>0</v>
      </c>
    </row>
    <row r="1576" spans="1:24" s="229" customFormat="1" hidden="1">
      <c r="A1576" s="235" t="s">
        <v>83</v>
      </c>
      <c r="B1576" s="247" t="s">
        <v>402</v>
      </c>
      <c r="C1576" s="227" t="s">
        <v>17</v>
      </c>
      <c r="D1576" s="227" t="s">
        <v>13</v>
      </c>
      <c r="E1576" s="227" t="s">
        <v>82</v>
      </c>
      <c r="F1576" s="227" t="s">
        <v>70</v>
      </c>
      <c r="G1576" s="227" t="s">
        <v>148</v>
      </c>
      <c r="H1576" s="227" t="s">
        <v>149</v>
      </c>
      <c r="I1576" s="237"/>
      <c r="J1576" s="244"/>
      <c r="K1576" s="244"/>
      <c r="L1576" s="244"/>
      <c r="M1576" s="244"/>
      <c r="N1576" s="244"/>
      <c r="O1576" s="244"/>
      <c r="P1576" s="244">
        <f>P1577</f>
        <v>63322.720000000001</v>
      </c>
      <c r="Q1576" s="244">
        <f t="shared" si="1378"/>
        <v>0</v>
      </c>
      <c r="R1576" s="244">
        <f t="shared" si="1378"/>
        <v>0</v>
      </c>
      <c r="S1576" s="244">
        <f t="shared" si="1378"/>
        <v>0</v>
      </c>
      <c r="T1576" s="244">
        <f t="shared" si="1378"/>
        <v>0</v>
      </c>
      <c r="U1576" s="244">
        <f t="shared" si="1378"/>
        <v>0</v>
      </c>
      <c r="V1576" s="244">
        <f t="shared" si="1373"/>
        <v>63322.720000000001</v>
      </c>
      <c r="W1576" s="244">
        <f t="shared" si="1373"/>
        <v>0</v>
      </c>
      <c r="X1576" s="244">
        <f t="shared" si="1373"/>
        <v>0</v>
      </c>
    </row>
    <row r="1577" spans="1:24" s="229" customFormat="1" ht="25.5" hidden="1">
      <c r="A1577" s="235" t="s">
        <v>304</v>
      </c>
      <c r="B1577" s="247" t="s">
        <v>402</v>
      </c>
      <c r="C1577" s="227" t="s">
        <v>17</v>
      </c>
      <c r="D1577" s="227" t="s">
        <v>13</v>
      </c>
      <c r="E1577" s="227" t="s">
        <v>82</v>
      </c>
      <c r="F1577" s="227" t="s">
        <v>70</v>
      </c>
      <c r="G1577" s="227" t="s">
        <v>148</v>
      </c>
      <c r="H1577" s="227" t="s">
        <v>305</v>
      </c>
      <c r="I1577" s="237"/>
      <c r="J1577" s="244"/>
      <c r="K1577" s="244"/>
      <c r="L1577" s="244"/>
      <c r="M1577" s="244"/>
      <c r="N1577" s="244"/>
      <c r="O1577" s="244"/>
      <c r="P1577" s="244">
        <f>P1578+P1580</f>
        <v>63322.720000000001</v>
      </c>
      <c r="Q1577" s="244">
        <f t="shared" ref="Q1577:U1577" si="1379">Q1578+Q1580</f>
        <v>0</v>
      </c>
      <c r="R1577" s="244">
        <f t="shared" si="1379"/>
        <v>0</v>
      </c>
      <c r="S1577" s="244">
        <f t="shared" si="1379"/>
        <v>0</v>
      </c>
      <c r="T1577" s="244">
        <f t="shared" si="1379"/>
        <v>0</v>
      </c>
      <c r="U1577" s="244">
        <f t="shared" si="1379"/>
        <v>0</v>
      </c>
      <c r="V1577" s="244">
        <f t="shared" si="1373"/>
        <v>63322.720000000001</v>
      </c>
      <c r="W1577" s="244">
        <f t="shared" si="1373"/>
        <v>0</v>
      </c>
      <c r="X1577" s="244">
        <f t="shared" si="1373"/>
        <v>0</v>
      </c>
    </row>
    <row r="1578" spans="1:24" s="229" customFormat="1" ht="38.25" hidden="1">
      <c r="A1578" s="239" t="s">
        <v>96</v>
      </c>
      <c r="B1578" s="247" t="s">
        <v>402</v>
      </c>
      <c r="C1578" s="227" t="s">
        <v>17</v>
      </c>
      <c r="D1578" s="227" t="s">
        <v>13</v>
      </c>
      <c r="E1578" s="227" t="s">
        <v>82</v>
      </c>
      <c r="F1578" s="227" t="s">
        <v>70</v>
      </c>
      <c r="G1578" s="227" t="s">
        <v>148</v>
      </c>
      <c r="H1578" s="227" t="s">
        <v>305</v>
      </c>
      <c r="I1578" s="237" t="s">
        <v>92</v>
      </c>
      <c r="J1578" s="244"/>
      <c r="K1578" s="244"/>
      <c r="L1578" s="244"/>
      <c r="M1578" s="244"/>
      <c r="N1578" s="244"/>
      <c r="O1578" s="244"/>
      <c r="P1578" s="244">
        <f>P1579</f>
        <v>31248</v>
      </c>
      <c r="Q1578" s="244">
        <f t="shared" ref="Q1578:U1578" si="1380">Q1579</f>
        <v>0</v>
      </c>
      <c r="R1578" s="244">
        <f t="shared" si="1380"/>
        <v>0</v>
      </c>
      <c r="S1578" s="244">
        <f t="shared" si="1380"/>
        <v>0</v>
      </c>
      <c r="T1578" s="244">
        <f t="shared" si="1380"/>
        <v>0</v>
      </c>
      <c r="U1578" s="244">
        <f t="shared" si="1380"/>
        <v>0</v>
      </c>
      <c r="V1578" s="244">
        <f t="shared" si="1373"/>
        <v>31248</v>
      </c>
      <c r="W1578" s="244">
        <f t="shared" si="1373"/>
        <v>0</v>
      </c>
      <c r="X1578" s="244">
        <f t="shared" si="1373"/>
        <v>0</v>
      </c>
    </row>
    <row r="1579" spans="1:24" s="229" customFormat="1" hidden="1">
      <c r="A1579" s="239" t="s">
        <v>103</v>
      </c>
      <c r="B1579" s="247" t="s">
        <v>402</v>
      </c>
      <c r="C1579" s="227" t="s">
        <v>17</v>
      </c>
      <c r="D1579" s="227" t="s">
        <v>13</v>
      </c>
      <c r="E1579" s="227" t="s">
        <v>82</v>
      </c>
      <c r="F1579" s="227" t="s">
        <v>70</v>
      </c>
      <c r="G1579" s="227" t="s">
        <v>148</v>
      </c>
      <c r="H1579" s="227" t="s">
        <v>305</v>
      </c>
      <c r="I1579" s="237" t="s">
        <v>102</v>
      </c>
      <c r="J1579" s="244"/>
      <c r="K1579" s="244"/>
      <c r="L1579" s="244"/>
      <c r="M1579" s="244"/>
      <c r="N1579" s="244"/>
      <c r="O1579" s="244"/>
      <c r="P1579" s="244">
        <f>24000+7248</f>
        <v>31248</v>
      </c>
      <c r="Q1579" s="244"/>
      <c r="R1579" s="244"/>
      <c r="S1579" s="244"/>
      <c r="T1579" s="244"/>
      <c r="U1579" s="244"/>
      <c r="V1579" s="244">
        <f t="shared" si="1373"/>
        <v>31248</v>
      </c>
      <c r="W1579" s="244">
        <f t="shared" si="1373"/>
        <v>0</v>
      </c>
      <c r="X1579" s="244">
        <f t="shared" si="1373"/>
        <v>0</v>
      </c>
    </row>
    <row r="1580" spans="1:24" s="229" customFormat="1" ht="25.5" hidden="1">
      <c r="A1580" s="240" t="s">
        <v>260</v>
      </c>
      <c r="B1580" s="247" t="s">
        <v>402</v>
      </c>
      <c r="C1580" s="227" t="s">
        <v>17</v>
      </c>
      <c r="D1580" s="227" t="s">
        <v>13</v>
      </c>
      <c r="E1580" s="227" t="s">
        <v>82</v>
      </c>
      <c r="F1580" s="227" t="s">
        <v>70</v>
      </c>
      <c r="G1580" s="227" t="s">
        <v>148</v>
      </c>
      <c r="H1580" s="227" t="s">
        <v>305</v>
      </c>
      <c r="I1580" s="237" t="s">
        <v>94</v>
      </c>
      <c r="J1580" s="244"/>
      <c r="K1580" s="244"/>
      <c r="L1580" s="244"/>
      <c r="M1580" s="244"/>
      <c r="N1580" s="244"/>
      <c r="O1580" s="244"/>
      <c r="P1580" s="244">
        <f>P1581</f>
        <v>32074.720000000001</v>
      </c>
      <c r="Q1580" s="244">
        <f t="shared" ref="Q1580:U1580" si="1381">Q1581</f>
        <v>0</v>
      </c>
      <c r="R1580" s="244">
        <f t="shared" si="1381"/>
        <v>0</v>
      </c>
      <c r="S1580" s="244">
        <f t="shared" si="1381"/>
        <v>0</v>
      </c>
      <c r="T1580" s="244">
        <f t="shared" si="1381"/>
        <v>0</v>
      </c>
      <c r="U1580" s="244">
        <f t="shared" si="1381"/>
        <v>0</v>
      </c>
      <c r="V1580" s="244">
        <f t="shared" ref="V1580:X1591" si="1382">P1580+S1580</f>
        <v>32074.720000000001</v>
      </c>
      <c r="W1580" s="244">
        <f t="shared" si="1382"/>
        <v>0</v>
      </c>
      <c r="X1580" s="244">
        <f t="shared" si="1382"/>
        <v>0</v>
      </c>
    </row>
    <row r="1581" spans="1:24" s="229" customFormat="1" ht="25.5" hidden="1">
      <c r="A1581" s="239" t="s">
        <v>98</v>
      </c>
      <c r="B1581" s="247" t="s">
        <v>402</v>
      </c>
      <c r="C1581" s="227" t="s">
        <v>17</v>
      </c>
      <c r="D1581" s="227" t="s">
        <v>13</v>
      </c>
      <c r="E1581" s="227" t="s">
        <v>82</v>
      </c>
      <c r="F1581" s="227" t="s">
        <v>70</v>
      </c>
      <c r="G1581" s="227" t="s">
        <v>148</v>
      </c>
      <c r="H1581" s="227" t="s">
        <v>305</v>
      </c>
      <c r="I1581" s="237" t="s">
        <v>95</v>
      </c>
      <c r="J1581" s="244"/>
      <c r="K1581" s="244"/>
      <c r="L1581" s="244"/>
      <c r="M1581" s="244"/>
      <c r="N1581" s="244"/>
      <c r="O1581" s="244"/>
      <c r="P1581" s="244">
        <v>32074.720000000001</v>
      </c>
      <c r="Q1581" s="244"/>
      <c r="R1581" s="244"/>
      <c r="S1581" s="244"/>
      <c r="T1581" s="244"/>
      <c r="U1581" s="244"/>
      <c r="V1581" s="244">
        <f t="shared" si="1382"/>
        <v>32074.720000000001</v>
      </c>
      <c r="W1581" s="244">
        <f t="shared" si="1382"/>
        <v>0</v>
      </c>
      <c r="X1581" s="244">
        <f t="shared" si="1382"/>
        <v>0</v>
      </c>
    </row>
    <row r="1582" spans="1:24" s="255" customFormat="1" ht="31.5" hidden="1">
      <c r="A1582" s="249" t="s">
        <v>26</v>
      </c>
      <c r="B1582" s="251" t="s">
        <v>402</v>
      </c>
      <c r="C1582" s="251" t="s">
        <v>13</v>
      </c>
      <c r="D1582" s="252"/>
      <c r="E1582" s="252"/>
      <c r="F1582" s="252"/>
      <c r="G1582" s="252"/>
      <c r="H1582" s="252"/>
      <c r="I1582" s="253"/>
      <c r="J1582" s="254"/>
      <c r="K1582" s="254"/>
      <c r="L1582" s="254"/>
      <c r="M1582" s="254"/>
      <c r="N1582" s="254"/>
      <c r="O1582" s="254"/>
      <c r="P1582" s="254">
        <f>P1583</f>
        <v>184000</v>
      </c>
      <c r="Q1582" s="254">
        <f t="shared" ref="Q1582:U1586" si="1383">Q1583</f>
        <v>0</v>
      </c>
      <c r="R1582" s="254">
        <f t="shared" si="1383"/>
        <v>0</v>
      </c>
      <c r="S1582" s="254">
        <f t="shared" si="1383"/>
        <v>0</v>
      </c>
      <c r="T1582" s="254">
        <f t="shared" si="1383"/>
        <v>0</v>
      </c>
      <c r="U1582" s="254">
        <f t="shared" si="1383"/>
        <v>0</v>
      </c>
      <c r="V1582" s="254">
        <f t="shared" si="1382"/>
        <v>184000</v>
      </c>
      <c r="W1582" s="254">
        <f t="shared" si="1382"/>
        <v>0</v>
      </c>
      <c r="X1582" s="254">
        <f t="shared" si="1382"/>
        <v>0</v>
      </c>
    </row>
    <row r="1583" spans="1:24" s="229" customFormat="1" ht="38.25" hidden="1">
      <c r="A1583" s="256" t="s">
        <v>230</v>
      </c>
      <c r="B1583" s="257" t="s">
        <v>402</v>
      </c>
      <c r="C1583" s="257" t="s">
        <v>13</v>
      </c>
      <c r="D1583" s="257" t="s">
        <v>30</v>
      </c>
      <c r="E1583" s="257"/>
      <c r="F1583" s="257"/>
      <c r="G1583" s="257"/>
      <c r="H1583" s="257"/>
      <c r="I1583" s="258"/>
      <c r="J1583" s="259"/>
      <c r="K1583" s="259"/>
      <c r="L1583" s="259"/>
      <c r="M1583" s="259"/>
      <c r="N1583" s="259"/>
      <c r="O1583" s="259"/>
      <c r="P1583" s="259">
        <f>P1584</f>
        <v>184000</v>
      </c>
      <c r="Q1583" s="259">
        <f t="shared" si="1383"/>
        <v>0</v>
      </c>
      <c r="R1583" s="259">
        <f t="shared" si="1383"/>
        <v>0</v>
      </c>
      <c r="S1583" s="259">
        <f t="shared" si="1383"/>
        <v>0</v>
      </c>
      <c r="T1583" s="259">
        <f t="shared" si="1383"/>
        <v>0</v>
      </c>
      <c r="U1583" s="259">
        <f t="shared" si="1383"/>
        <v>0</v>
      </c>
      <c r="V1583" s="259">
        <f t="shared" si="1382"/>
        <v>184000</v>
      </c>
      <c r="W1583" s="259">
        <f t="shared" si="1382"/>
        <v>0</v>
      </c>
      <c r="X1583" s="259">
        <f t="shared" si="1382"/>
        <v>0</v>
      </c>
    </row>
    <row r="1584" spans="1:24" s="229" customFormat="1" hidden="1">
      <c r="A1584" s="260" t="s">
        <v>290</v>
      </c>
      <c r="B1584" s="261" t="s">
        <v>402</v>
      </c>
      <c r="C1584" s="261" t="s">
        <v>13</v>
      </c>
      <c r="D1584" s="261" t="s">
        <v>30</v>
      </c>
      <c r="E1584" s="261" t="s">
        <v>214</v>
      </c>
      <c r="F1584" s="261" t="s">
        <v>70</v>
      </c>
      <c r="G1584" s="261" t="s">
        <v>148</v>
      </c>
      <c r="H1584" s="261" t="s">
        <v>149</v>
      </c>
      <c r="I1584" s="262"/>
      <c r="J1584" s="263"/>
      <c r="K1584" s="263"/>
      <c r="L1584" s="263"/>
      <c r="M1584" s="263"/>
      <c r="N1584" s="263"/>
      <c r="O1584" s="263"/>
      <c r="P1584" s="263">
        <f>P1585+P1588</f>
        <v>184000</v>
      </c>
      <c r="Q1584" s="263">
        <f t="shared" ref="Q1584:U1584" si="1384">Q1585+Q1588</f>
        <v>0</v>
      </c>
      <c r="R1584" s="263">
        <f t="shared" si="1384"/>
        <v>0</v>
      </c>
      <c r="S1584" s="263">
        <f t="shared" si="1384"/>
        <v>0</v>
      </c>
      <c r="T1584" s="263">
        <f t="shared" si="1384"/>
        <v>0</v>
      </c>
      <c r="U1584" s="263">
        <f t="shared" si="1384"/>
        <v>0</v>
      </c>
      <c r="V1584" s="263">
        <f t="shared" si="1382"/>
        <v>184000</v>
      </c>
      <c r="W1584" s="263">
        <f t="shared" si="1382"/>
        <v>0</v>
      </c>
      <c r="X1584" s="263">
        <f t="shared" si="1382"/>
        <v>0</v>
      </c>
    </row>
    <row r="1585" spans="1:24" s="229" customFormat="1" hidden="1">
      <c r="A1585" s="241" t="s">
        <v>336</v>
      </c>
      <c r="B1585" s="261" t="s">
        <v>402</v>
      </c>
      <c r="C1585" s="261" t="s">
        <v>13</v>
      </c>
      <c r="D1585" s="261" t="s">
        <v>30</v>
      </c>
      <c r="E1585" s="261" t="s">
        <v>214</v>
      </c>
      <c r="F1585" s="261" t="s">
        <v>70</v>
      </c>
      <c r="G1585" s="261" t="s">
        <v>148</v>
      </c>
      <c r="H1585" s="261" t="s">
        <v>335</v>
      </c>
      <c r="I1585" s="262"/>
      <c r="J1585" s="263"/>
      <c r="K1585" s="263"/>
      <c r="L1585" s="263"/>
      <c r="M1585" s="263"/>
      <c r="N1585" s="263"/>
      <c r="O1585" s="263"/>
      <c r="P1585" s="263">
        <f>P1586</f>
        <v>40000</v>
      </c>
      <c r="Q1585" s="263">
        <f t="shared" si="1383"/>
        <v>0</v>
      </c>
      <c r="R1585" s="263">
        <f t="shared" si="1383"/>
        <v>0</v>
      </c>
      <c r="S1585" s="263">
        <f t="shared" si="1383"/>
        <v>0</v>
      </c>
      <c r="T1585" s="263">
        <f t="shared" si="1383"/>
        <v>0</v>
      </c>
      <c r="U1585" s="263">
        <f t="shared" si="1383"/>
        <v>0</v>
      </c>
      <c r="V1585" s="263">
        <f t="shared" si="1382"/>
        <v>40000</v>
      </c>
      <c r="W1585" s="263">
        <f t="shared" si="1382"/>
        <v>0</v>
      </c>
      <c r="X1585" s="263">
        <f t="shared" si="1382"/>
        <v>0</v>
      </c>
    </row>
    <row r="1586" spans="1:24" s="229" customFormat="1" ht="25.5" hidden="1">
      <c r="A1586" s="240" t="s">
        <v>260</v>
      </c>
      <c r="B1586" s="261" t="s">
        <v>402</v>
      </c>
      <c r="C1586" s="261" t="s">
        <v>13</v>
      </c>
      <c r="D1586" s="261" t="s">
        <v>30</v>
      </c>
      <c r="E1586" s="261" t="s">
        <v>214</v>
      </c>
      <c r="F1586" s="261" t="s">
        <v>70</v>
      </c>
      <c r="G1586" s="261" t="s">
        <v>148</v>
      </c>
      <c r="H1586" s="261" t="s">
        <v>335</v>
      </c>
      <c r="I1586" s="262" t="s">
        <v>94</v>
      </c>
      <c r="J1586" s="263"/>
      <c r="K1586" s="263"/>
      <c r="L1586" s="263"/>
      <c r="M1586" s="263"/>
      <c r="N1586" s="263"/>
      <c r="O1586" s="263"/>
      <c r="P1586" s="263">
        <f>P1587</f>
        <v>40000</v>
      </c>
      <c r="Q1586" s="263">
        <f t="shared" si="1383"/>
        <v>0</v>
      </c>
      <c r="R1586" s="263">
        <f t="shared" si="1383"/>
        <v>0</v>
      </c>
      <c r="S1586" s="263">
        <f t="shared" si="1383"/>
        <v>0</v>
      </c>
      <c r="T1586" s="263">
        <f t="shared" si="1383"/>
        <v>0</v>
      </c>
      <c r="U1586" s="263">
        <f t="shared" si="1383"/>
        <v>0</v>
      </c>
      <c r="V1586" s="263">
        <f t="shared" si="1382"/>
        <v>40000</v>
      </c>
      <c r="W1586" s="263">
        <f t="shared" si="1382"/>
        <v>0</v>
      </c>
      <c r="X1586" s="263">
        <f t="shared" si="1382"/>
        <v>0</v>
      </c>
    </row>
    <row r="1587" spans="1:24" s="229" customFormat="1" ht="25.5" hidden="1">
      <c r="A1587" s="239" t="s">
        <v>98</v>
      </c>
      <c r="B1587" s="261" t="s">
        <v>402</v>
      </c>
      <c r="C1587" s="261" t="s">
        <v>13</v>
      </c>
      <c r="D1587" s="261" t="s">
        <v>30</v>
      </c>
      <c r="E1587" s="261" t="s">
        <v>214</v>
      </c>
      <c r="F1587" s="261" t="s">
        <v>70</v>
      </c>
      <c r="G1587" s="261" t="s">
        <v>148</v>
      </c>
      <c r="H1587" s="261" t="s">
        <v>335</v>
      </c>
      <c r="I1587" s="262" t="s">
        <v>95</v>
      </c>
      <c r="J1587" s="263"/>
      <c r="K1587" s="263"/>
      <c r="L1587" s="263"/>
      <c r="M1587" s="263"/>
      <c r="N1587" s="263"/>
      <c r="O1587" s="263"/>
      <c r="P1587" s="263">
        <v>40000</v>
      </c>
      <c r="Q1587" s="263"/>
      <c r="R1587" s="263"/>
      <c r="S1587" s="263"/>
      <c r="T1587" s="263"/>
      <c r="U1587" s="263"/>
      <c r="V1587" s="263">
        <f t="shared" si="1382"/>
        <v>40000</v>
      </c>
      <c r="W1587" s="263">
        <f t="shared" si="1382"/>
        <v>0</v>
      </c>
      <c r="X1587" s="263">
        <f t="shared" si="1382"/>
        <v>0</v>
      </c>
    </row>
    <row r="1588" spans="1:24" s="229" customFormat="1" ht="25.5" hidden="1">
      <c r="A1588" s="268" t="s">
        <v>312</v>
      </c>
      <c r="B1588" s="261" t="s">
        <v>402</v>
      </c>
      <c r="C1588" s="261" t="s">
        <v>13</v>
      </c>
      <c r="D1588" s="261" t="s">
        <v>30</v>
      </c>
      <c r="E1588" s="261" t="s">
        <v>214</v>
      </c>
      <c r="F1588" s="261" t="s">
        <v>70</v>
      </c>
      <c r="G1588" s="261" t="s">
        <v>148</v>
      </c>
      <c r="H1588" s="261" t="s">
        <v>311</v>
      </c>
      <c r="I1588" s="262"/>
      <c r="J1588" s="263"/>
      <c r="K1588" s="263"/>
      <c r="L1588" s="263"/>
      <c r="M1588" s="263"/>
      <c r="N1588" s="263"/>
      <c r="O1588" s="263"/>
      <c r="P1588" s="263">
        <f>P1589</f>
        <v>144000</v>
      </c>
      <c r="Q1588" s="263">
        <f t="shared" ref="Q1588:U1589" si="1385">Q1589</f>
        <v>0</v>
      </c>
      <c r="R1588" s="263">
        <f t="shared" si="1385"/>
        <v>0</v>
      </c>
      <c r="S1588" s="263">
        <f t="shared" si="1385"/>
        <v>0</v>
      </c>
      <c r="T1588" s="263">
        <f t="shared" si="1385"/>
        <v>0</v>
      </c>
      <c r="U1588" s="263">
        <f t="shared" si="1385"/>
        <v>0</v>
      </c>
      <c r="V1588" s="263">
        <f t="shared" si="1382"/>
        <v>144000</v>
      </c>
      <c r="W1588" s="263">
        <f t="shared" si="1382"/>
        <v>0</v>
      </c>
      <c r="X1588" s="263">
        <f t="shared" si="1382"/>
        <v>0</v>
      </c>
    </row>
    <row r="1589" spans="1:24" s="229" customFormat="1" ht="25.5" hidden="1">
      <c r="A1589" s="240" t="s">
        <v>260</v>
      </c>
      <c r="B1589" s="261" t="s">
        <v>402</v>
      </c>
      <c r="C1589" s="261" t="s">
        <v>13</v>
      </c>
      <c r="D1589" s="261" t="s">
        <v>30</v>
      </c>
      <c r="E1589" s="261" t="s">
        <v>214</v>
      </c>
      <c r="F1589" s="261" t="s">
        <v>70</v>
      </c>
      <c r="G1589" s="261" t="s">
        <v>148</v>
      </c>
      <c r="H1589" s="261" t="s">
        <v>311</v>
      </c>
      <c r="I1589" s="262" t="s">
        <v>94</v>
      </c>
      <c r="J1589" s="263"/>
      <c r="K1589" s="263"/>
      <c r="L1589" s="263"/>
      <c r="M1589" s="263"/>
      <c r="N1589" s="263"/>
      <c r="O1589" s="263"/>
      <c r="P1589" s="263">
        <f>P1590</f>
        <v>144000</v>
      </c>
      <c r="Q1589" s="263">
        <f t="shared" si="1385"/>
        <v>0</v>
      </c>
      <c r="R1589" s="263">
        <f t="shared" si="1385"/>
        <v>0</v>
      </c>
      <c r="S1589" s="263">
        <f t="shared" si="1385"/>
        <v>0</v>
      </c>
      <c r="T1589" s="263">
        <f t="shared" si="1385"/>
        <v>0</v>
      </c>
      <c r="U1589" s="263">
        <f t="shared" si="1385"/>
        <v>0</v>
      </c>
      <c r="V1589" s="263">
        <f t="shared" si="1382"/>
        <v>144000</v>
      </c>
      <c r="W1589" s="263">
        <f t="shared" si="1382"/>
        <v>0</v>
      </c>
      <c r="X1589" s="263">
        <f t="shared" si="1382"/>
        <v>0</v>
      </c>
    </row>
    <row r="1590" spans="1:24" s="229" customFormat="1" ht="25.5" hidden="1">
      <c r="A1590" s="239" t="s">
        <v>98</v>
      </c>
      <c r="B1590" s="261" t="s">
        <v>402</v>
      </c>
      <c r="C1590" s="261" t="s">
        <v>13</v>
      </c>
      <c r="D1590" s="261" t="s">
        <v>30</v>
      </c>
      <c r="E1590" s="261" t="s">
        <v>214</v>
      </c>
      <c r="F1590" s="261" t="s">
        <v>70</v>
      </c>
      <c r="G1590" s="261" t="s">
        <v>148</v>
      </c>
      <c r="H1590" s="261" t="s">
        <v>311</v>
      </c>
      <c r="I1590" s="262" t="s">
        <v>95</v>
      </c>
      <c r="J1590" s="263"/>
      <c r="K1590" s="263"/>
      <c r="L1590" s="263"/>
      <c r="M1590" s="263"/>
      <c r="N1590" s="263"/>
      <c r="O1590" s="263"/>
      <c r="P1590" s="263">
        <v>144000</v>
      </c>
      <c r="Q1590" s="263">
        <f t="shared" ref="Q1590:R1590" si="1386">K1590+N1590</f>
        <v>0</v>
      </c>
      <c r="R1590" s="263">
        <f t="shared" si="1386"/>
        <v>0</v>
      </c>
      <c r="S1590" s="263"/>
      <c r="T1590" s="263"/>
      <c r="U1590" s="263"/>
      <c r="V1590" s="263">
        <f t="shared" si="1382"/>
        <v>144000</v>
      </c>
      <c r="W1590" s="263">
        <f t="shared" si="1382"/>
        <v>0</v>
      </c>
      <c r="X1590" s="263">
        <f t="shared" si="1382"/>
        <v>0</v>
      </c>
    </row>
    <row r="1591" spans="1:24" s="229" customFormat="1" ht="15.75" hidden="1">
      <c r="A1591" s="225" t="s">
        <v>15</v>
      </c>
      <c r="B1591" s="266" t="s">
        <v>402</v>
      </c>
      <c r="C1591" s="266" t="s">
        <v>16</v>
      </c>
      <c r="D1591" s="247"/>
      <c r="E1591" s="247"/>
      <c r="F1591" s="247"/>
      <c r="G1591" s="247"/>
      <c r="H1591" s="247"/>
      <c r="I1591" s="248"/>
      <c r="J1591" s="228"/>
      <c r="K1591" s="228"/>
      <c r="L1591" s="228"/>
      <c r="M1591" s="228"/>
      <c r="N1591" s="228"/>
      <c r="O1591" s="228"/>
      <c r="P1591" s="228">
        <f>P1592</f>
        <v>350000</v>
      </c>
      <c r="Q1591" s="228">
        <f t="shared" ref="Q1591:U1595" si="1387">Q1592</f>
        <v>0</v>
      </c>
      <c r="R1591" s="228">
        <f t="shared" si="1387"/>
        <v>0</v>
      </c>
      <c r="S1591" s="228">
        <f t="shared" si="1387"/>
        <v>0</v>
      </c>
      <c r="T1591" s="228">
        <f t="shared" si="1387"/>
        <v>0</v>
      </c>
      <c r="U1591" s="228">
        <f t="shared" si="1387"/>
        <v>0</v>
      </c>
      <c r="V1591" s="228">
        <f t="shared" si="1382"/>
        <v>350000</v>
      </c>
      <c r="W1591" s="228">
        <f t="shared" si="1382"/>
        <v>0</v>
      </c>
      <c r="X1591" s="228">
        <f t="shared" si="1382"/>
        <v>0</v>
      </c>
    </row>
    <row r="1592" spans="1:24" s="229" customFormat="1" hidden="1">
      <c r="A1592" s="230" t="s">
        <v>60</v>
      </c>
      <c r="B1592" s="231" t="s">
        <v>402</v>
      </c>
      <c r="C1592" s="231" t="s">
        <v>16</v>
      </c>
      <c r="D1592" s="231" t="s">
        <v>14</v>
      </c>
      <c r="E1592" s="231"/>
      <c r="F1592" s="231"/>
      <c r="G1592" s="231"/>
      <c r="H1592" s="227"/>
      <c r="I1592" s="237"/>
      <c r="J1592" s="234"/>
      <c r="K1592" s="234"/>
      <c r="L1592" s="234"/>
      <c r="M1592" s="234"/>
      <c r="N1592" s="234"/>
      <c r="O1592" s="234"/>
      <c r="P1592" s="234">
        <f>P1593</f>
        <v>350000</v>
      </c>
      <c r="Q1592" s="234">
        <f t="shared" si="1387"/>
        <v>0</v>
      </c>
      <c r="R1592" s="234">
        <f t="shared" si="1387"/>
        <v>0</v>
      </c>
      <c r="S1592" s="234">
        <f t="shared" si="1387"/>
        <v>0</v>
      </c>
      <c r="T1592" s="234">
        <f t="shared" si="1387"/>
        <v>0</v>
      </c>
      <c r="U1592" s="234">
        <f t="shared" si="1387"/>
        <v>0</v>
      </c>
      <c r="V1592" s="234">
        <f>P1592+S1592</f>
        <v>350000</v>
      </c>
      <c r="W1592" s="234">
        <f>Q1592+T1592</f>
        <v>0</v>
      </c>
      <c r="X1592" s="234">
        <f>R1592+U1592</f>
        <v>0</v>
      </c>
    </row>
    <row r="1593" spans="1:24" s="229" customFormat="1" hidden="1">
      <c r="A1593" s="235" t="s">
        <v>84</v>
      </c>
      <c r="B1593" s="227" t="s">
        <v>402</v>
      </c>
      <c r="C1593" s="227" t="s">
        <v>16</v>
      </c>
      <c r="D1593" s="227" t="s">
        <v>14</v>
      </c>
      <c r="E1593" s="227" t="s">
        <v>82</v>
      </c>
      <c r="F1593" s="227" t="s">
        <v>70</v>
      </c>
      <c r="G1593" s="227" t="s">
        <v>148</v>
      </c>
      <c r="H1593" s="227" t="s">
        <v>149</v>
      </c>
      <c r="I1593" s="237"/>
      <c r="J1593" s="238"/>
      <c r="K1593" s="238"/>
      <c r="L1593" s="238"/>
      <c r="M1593" s="238"/>
      <c r="N1593" s="238"/>
      <c r="O1593" s="238"/>
      <c r="P1593" s="238">
        <f>P1594</f>
        <v>350000</v>
      </c>
      <c r="Q1593" s="238">
        <f t="shared" si="1387"/>
        <v>0</v>
      </c>
      <c r="R1593" s="238">
        <f t="shared" si="1387"/>
        <v>0</v>
      </c>
      <c r="S1593" s="238">
        <f t="shared" si="1387"/>
        <v>0</v>
      </c>
      <c r="T1593" s="238">
        <f t="shared" si="1387"/>
        <v>0</v>
      </c>
      <c r="U1593" s="238">
        <f t="shared" si="1387"/>
        <v>0</v>
      </c>
      <c r="V1593" s="238">
        <f t="shared" ref="V1593:X1608" si="1388">P1593+S1593</f>
        <v>350000</v>
      </c>
      <c r="W1593" s="238">
        <f t="shared" si="1388"/>
        <v>0</v>
      </c>
      <c r="X1593" s="238">
        <f t="shared" si="1388"/>
        <v>0</v>
      </c>
    </row>
    <row r="1594" spans="1:24" s="229" customFormat="1" ht="38.25" hidden="1">
      <c r="A1594" s="235" t="s">
        <v>350</v>
      </c>
      <c r="B1594" s="227" t="s">
        <v>402</v>
      </c>
      <c r="C1594" s="227" t="s">
        <v>16</v>
      </c>
      <c r="D1594" s="227" t="s">
        <v>14</v>
      </c>
      <c r="E1594" s="227" t="s">
        <v>82</v>
      </c>
      <c r="F1594" s="227" t="s">
        <v>70</v>
      </c>
      <c r="G1594" s="227" t="s">
        <v>148</v>
      </c>
      <c r="H1594" s="227" t="s">
        <v>179</v>
      </c>
      <c r="I1594" s="237"/>
      <c r="J1594" s="238"/>
      <c r="K1594" s="238"/>
      <c r="L1594" s="238"/>
      <c r="M1594" s="238"/>
      <c r="N1594" s="238"/>
      <c r="O1594" s="238"/>
      <c r="P1594" s="238">
        <f>P1595</f>
        <v>350000</v>
      </c>
      <c r="Q1594" s="238">
        <f t="shared" si="1387"/>
        <v>0</v>
      </c>
      <c r="R1594" s="238">
        <f t="shared" si="1387"/>
        <v>0</v>
      </c>
      <c r="S1594" s="238">
        <f t="shared" si="1387"/>
        <v>0</v>
      </c>
      <c r="T1594" s="238">
        <f t="shared" si="1387"/>
        <v>0</v>
      </c>
      <c r="U1594" s="238">
        <f t="shared" si="1387"/>
        <v>0</v>
      </c>
      <c r="V1594" s="238">
        <f t="shared" si="1388"/>
        <v>350000</v>
      </c>
      <c r="W1594" s="238">
        <f t="shared" si="1388"/>
        <v>0</v>
      </c>
      <c r="X1594" s="238">
        <f t="shared" si="1388"/>
        <v>0</v>
      </c>
    </row>
    <row r="1595" spans="1:24" s="229" customFormat="1" ht="25.5" hidden="1">
      <c r="A1595" s="240" t="s">
        <v>260</v>
      </c>
      <c r="B1595" s="227" t="s">
        <v>402</v>
      </c>
      <c r="C1595" s="227" t="s">
        <v>16</v>
      </c>
      <c r="D1595" s="227" t="s">
        <v>14</v>
      </c>
      <c r="E1595" s="227" t="s">
        <v>82</v>
      </c>
      <c r="F1595" s="227" t="s">
        <v>70</v>
      </c>
      <c r="G1595" s="227" t="s">
        <v>148</v>
      </c>
      <c r="H1595" s="227" t="s">
        <v>179</v>
      </c>
      <c r="I1595" s="237" t="s">
        <v>94</v>
      </c>
      <c r="J1595" s="238"/>
      <c r="K1595" s="238"/>
      <c r="L1595" s="238"/>
      <c r="M1595" s="238"/>
      <c r="N1595" s="238"/>
      <c r="O1595" s="238"/>
      <c r="P1595" s="238">
        <f>P1596</f>
        <v>350000</v>
      </c>
      <c r="Q1595" s="238">
        <f t="shared" si="1387"/>
        <v>0</v>
      </c>
      <c r="R1595" s="238">
        <f t="shared" si="1387"/>
        <v>0</v>
      </c>
      <c r="S1595" s="238">
        <f t="shared" si="1387"/>
        <v>0</v>
      </c>
      <c r="T1595" s="238">
        <f t="shared" si="1387"/>
        <v>0</v>
      </c>
      <c r="U1595" s="238">
        <f t="shared" si="1387"/>
        <v>0</v>
      </c>
      <c r="V1595" s="238">
        <f t="shared" si="1388"/>
        <v>350000</v>
      </c>
      <c r="W1595" s="238">
        <f t="shared" si="1388"/>
        <v>0</v>
      </c>
      <c r="X1595" s="238">
        <f t="shared" si="1388"/>
        <v>0</v>
      </c>
    </row>
    <row r="1596" spans="1:24" s="229" customFormat="1" ht="25.5" hidden="1">
      <c r="A1596" s="239" t="s">
        <v>98</v>
      </c>
      <c r="B1596" s="227" t="s">
        <v>402</v>
      </c>
      <c r="C1596" s="227" t="s">
        <v>16</v>
      </c>
      <c r="D1596" s="227" t="s">
        <v>14</v>
      </c>
      <c r="E1596" s="227" t="s">
        <v>82</v>
      </c>
      <c r="F1596" s="227" t="s">
        <v>70</v>
      </c>
      <c r="G1596" s="227" t="s">
        <v>148</v>
      </c>
      <c r="H1596" s="227" t="s">
        <v>179</v>
      </c>
      <c r="I1596" s="237" t="s">
        <v>95</v>
      </c>
      <c r="J1596" s="238"/>
      <c r="K1596" s="238"/>
      <c r="L1596" s="238"/>
      <c r="M1596" s="238"/>
      <c r="N1596" s="238"/>
      <c r="O1596" s="238"/>
      <c r="P1596" s="238">
        <v>350000</v>
      </c>
      <c r="Q1596" s="238"/>
      <c r="R1596" s="238"/>
      <c r="S1596" s="238"/>
      <c r="T1596" s="238"/>
      <c r="U1596" s="238"/>
      <c r="V1596" s="238">
        <f t="shared" si="1388"/>
        <v>350000</v>
      </c>
      <c r="W1596" s="238">
        <f t="shared" si="1388"/>
        <v>0</v>
      </c>
      <c r="X1596" s="238">
        <f t="shared" si="1388"/>
        <v>0</v>
      </c>
    </row>
    <row r="1597" spans="1:24" s="229" customFormat="1" ht="15.75" hidden="1">
      <c r="A1597" s="273" t="s">
        <v>46</v>
      </c>
      <c r="B1597" s="274" t="s">
        <v>402</v>
      </c>
      <c r="C1597" s="274" t="s">
        <v>18</v>
      </c>
      <c r="D1597" s="274"/>
      <c r="E1597" s="274"/>
      <c r="F1597" s="274"/>
      <c r="G1597" s="274"/>
      <c r="H1597" s="274"/>
      <c r="I1597" s="275"/>
      <c r="J1597" s="228"/>
      <c r="K1597" s="228"/>
      <c r="L1597" s="228"/>
      <c r="M1597" s="228"/>
      <c r="N1597" s="228"/>
      <c r="O1597" s="228"/>
      <c r="P1597" s="228">
        <f t="shared" ref="P1597:U1597" si="1389">P1598+P1603</f>
        <v>1682137</v>
      </c>
      <c r="Q1597" s="228">
        <f t="shared" si="1389"/>
        <v>413864.76</v>
      </c>
      <c r="R1597" s="228">
        <f t="shared" si="1389"/>
        <v>357670.63</v>
      </c>
      <c r="S1597" s="228">
        <f t="shared" si="1389"/>
        <v>0</v>
      </c>
      <c r="T1597" s="228">
        <f t="shared" si="1389"/>
        <v>0</v>
      </c>
      <c r="U1597" s="228">
        <f t="shared" si="1389"/>
        <v>0</v>
      </c>
      <c r="V1597" s="228">
        <f t="shared" si="1388"/>
        <v>1682137</v>
      </c>
      <c r="W1597" s="228">
        <f t="shared" si="1388"/>
        <v>413864.76</v>
      </c>
      <c r="X1597" s="228">
        <f t="shared" si="1388"/>
        <v>357670.63</v>
      </c>
    </row>
    <row r="1598" spans="1:24" s="229" customFormat="1" hidden="1">
      <c r="A1598" s="278" t="s">
        <v>47</v>
      </c>
      <c r="B1598" s="232" t="s">
        <v>402</v>
      </c>
      <c r="C1598" s="232" t="s">
        <v>18</v>
      </c>
      <c r="D1598" s="232" t="s">
        <v>17</v>
      </c>
      <c r="E1598" s="232"/>
      <c r="F1598" s="232"/>
      <c r="G1598" s="232"/>
      <c r="H1598" s="232"/>
      <c r="I1598" s="233"/>
      <c r="J1598" s="234"/>
      <c r="K1598" s="234"/>
      <c r="L1598" s="234"/>
      <c r="M1598" s="234"/>
      <c r="N1598" s="234"/>
      <c r="O1598" s="234"/>
      <c r="P1598" s="234">
        <f>P1599</f>
        <v>28000</v>
      </c>
      <c r="Q1598" s="234">
        <f t="shared" ref="Q1598:U1601" si="1390">Q1599</f>
        <v>28400</v>
      </c>
      <c r="R1598" s="234">
        <f t="shared" si="1390"/>
        <v>28816</v>
      </c>
      <c r="S1598" s="234">
        <f t="shared" si="1390"/>
        <v>0</v>
      </c>
      <c r="T1598" s="234">
        <f t="shared" si="1390"/>
        <v>0</v>
      </c>
      <c r="U1598" s="234">
        <f t="shared" si="1390"/>
        <v>0</v>
      </c>
      <c r="V1598" s="234">
        <f t="shared" si="1388"/>
        <v>28000</v>
      </c>
      <c r="W1598" s="234">
        <f t="shared" si="1388"/>
        <v>28400</v>
      </c>
      <c r="X1598" s="234">
        <f t="shared" si="1388"/>
        <v>28816</v>
      </c>
    </row>
    <row r="1599" spans="1:24" s="229" customFormat="1" hidden="1">
      <c r="A1599" s="235" t="s">
        <v>83</v>
      </c>
      <c r="B1599" s="227" t="s">
        <v>402</v>
      </c>
      <c r="C1599" s="227" t="s">
        <v>18</v>
      </c>
      <c r="D1599" s="227" t="s">
        <v>17</v>
      </c>
      <c r="E1599" s="227" t="s">
        <v>82</v>
      </c>
      <c r="F1599" s="227" t="s">
        <v>70</v>
      </c>
      <c r="G1599" s="227" t="s">
        <v>148</v>
      </c>
      <c r="H1599" s="227" t="s">
        <v>149</v>
      </c>
      <c r="I1599" s="237"/>
      <c r="J1599" s="238"/>
      <c r="K1599" s="238"/>
      <c r="L1599" s="238"/>
      <c r="M1599" s="238"/>
      <c r="N1599" s="238"/>
      <c r="O1599" s="238"/>
      <c r="P1599" s="238">
        <f>P1600</f>
        <v>28000</v>
      </c>
      <c r="Q1599" s="238">
        <f t="shared" si="1390"/>
        <v>28400</v>
      </c>
      <c r="R1599" s="238">
        <f t="shared" si="1390"/>
        <v>28816</v>
      </c>
      <c r="S1599" s="238">
        <f t="shared" si="1390"/>
        <v>0</v>
      </c>
      <c r="T1599" s="238">
        <f t="shared" si="1390"/>
        <v>0</v>
      </c>
      <c r="U1599" s="238">
        <f t="shared" si="1390"/>
        <v>0</v>
      </c>
      <c r="V1599" s="238">
        <f t="shared" si="1388"/>
        <v>28000</v>
      </c>
      <c r="W1599" s="238">
        <f t="shared" si="1388"/>
        <v>28400</v>
      </c>
      <c r="X1599" s="238">
        <f t="shared" si="1388"/>
        <v>28816</v>
      </c>
    </row>
    <row r="1600" spans="1:24" s="229" customFormat="1" hidden="1">
      <c r="A1600" s="268" t="s">
        <v>359</v>
      </c>
      <c r="B1600" s="227" t="s">
        <v>402</v>
      </c>
      <c r="C1600" s="227" t="s">
        <v>18</v>
      </c>
      <c r="D1600" s="227" t="s">
        <v>17</v>
      </c>
      <c r="E1600" s="227" t="s">
        <v>82</v>
      </c>
      <c r="F1600" s="227" t="s">
        <v>70</v>
      </c>
      <c r="G1600" s="227" t="s">
        <v>148</v>
      </c>
      <c r="H1600" s="227" t="s">
        <v>358</v>
      </c>
      <c r="I1600" s="237"/>
      <c r="J1600" s="238"/>
      <c r="K1600" s="238"/>
      <c r="L1600" s="238"/>
      <c r="M1600" s="238"/>
      <c r="N1600" s="238"/>
      <c r="O1600" s="238"/>
      <c r="P1600" s="238">
        <f>P1601</f>
        <v>28000</v>
      </c>
      <c r="Q1600" s="238">
        <f t="shared" si="1390"/>
        <v>28400</v>
      </c>
      <c r="R1600" s="238">
        <f t="shared" si="1390"/>
        <v>28816</v>
      </c>
      <c r="S1600" s="238">
        <f t="shared" si="1390"/>
        <v>0</v>
      </c>
      <c r="T1600" s="238">
        <f t="shared" si="1390"/>
        <v>0</v>
      </c>
      <c r="U1600" s="238">
        <f t="shared" si="1390"/>
        <v>0</v>
      </c>
      <c r="V1600" s="238">
        <f t="shared" si="1388"/>
        <v>28000</v>
      </c>
      <c r="W1600" s="238">
        <f t="shared" si="1388"/>
        <v>28400</v>
      </c>
      <c r="X1600" s="238">
        <f t="shared" si="1388"/>
        <v>28816</v>
      </c>
    </row>
    <row r="1601" spans="1:24" s="229" customFormat="1" ht="25.5" hidden="1">
      <c r="A1601" s="240" t="s">
        <v>260</v>
      </c>
      <c r="B1601" s="227" t="s">
        <v>402</v>
      </c>
      <c r="C1601" s="227" t="s">
        <v>18</v>
      </c>
      <c r="D1601" s="227" t="s">
        <v>17</v>
      </c>
      <c r="E1601" s="227" t="s">
        <v>82</v>
      </c>
      <c r="F1601" s="227" t="s">
        <v>70</v>
      </c>
      <c r="G1601" s="227" t="s">
        <v>148</v>
      </c>
      <c r="H1601" s="227" t="s">
        <v>358</v>
      </c>
      <c r="I1601" s="237" t="s">
        <v>94</v>
      </c>
      <c r="J1601" s="238"/>
      <c r="K1601" s="238"/>
      <c r="L1601" s="238"/>
      <c r="M1601" s="238"/>
      <c r="N1601" s="238"/>
      <c r="O1601" s="238"/>
      <c r="P1601" s="238">
        <f>P1602</f>
        <v>28000</v>
      </c>
      <c r="Q1601" s="238">
        <f t="shared" si="1390"/>
        <v>28400</v>
      </c>
      <c r="R1601" s="238">
        <f t="shared" si="1390"/>
        <v>28816</v>
      </c>
      <c r="S1601" s="238">
        <f t="shared" si="1390"/>
        <v>0</v>
      </c>
      <c r="T1601" s="238">
        <f t="shared" si="1390"/>
        <v>0</v>
      </c>
      <c r="U1601" s="238">
        <f t="shared" si="1390"/>
        <v>0</v>
      </c>
      <c r="V1601" s="238">
        <f t="shared" si="1388"/>
        <v>28000</v>
      </c>
      <c r="W1601" s="238">
        <f t="shared" si="1388"/>
        <v>28400</v>
      </c>
      <c r="X1601" s="238">
        <f t="shared" si="1388"/>
        <v>28816</v>
      </c>
    </row>
    <row r="1602" spans="1:24" s="229" customFormat="1" ht="25.5" hidden="1">
      <c r="A1602" s="239" t="s">
        <v>98</v>
      </c>
      <c r="B1602" s="227" t="s">
        <v>402</v>
      </c>
      <c r="C1602" s="227" t="s">
        <v>18</v>
      </c>
      <c r="D1602" s="227" t="s">
        <v>17</v>
      </c>
      <c r="E1602" s="227" t="s">
        <v>82</v>
      </c>
      <c r="F1602" s="227" t="s">
        <v>70</v>
      </c>
      <c r="G1602" s="227" t="s">
        <v>148</v>
      </c>
      <c r="H1602" s="227" t="s">
        <v>358</v>
      </c>
      <c r="I1602" s="237" t="s">
        <v>95</v>
      </c>
      <c r="J1602" s="238"/>
      <c r="K1602" s="238"/>
      <c r="L1602" s="238"/>
      <c r="M1602" s="238"/>
      <c r="N1602" s="238"/>
      <c r="O1602" s="238"/>
      <c r="P1602" s="238">
        <f>18000+10000</f>
        <v>28000</v>
      </c>
      <c r="Q1602" s="238">
        <f>18000+10400</f>
        <v>28400</v>
      </c>
      <c r="R1602" s="238">
        <f>18000+10816</f>
        <v>28816</v>
      </c>
      <c r="S1602" s="238"/>
      <c r="T1602" s="238"/>
      <c r="U1602" s="238"/>
      <c r="V1602" s="238">
        <f t="shared" si="1388"/>
        <v>28000</v>
      </c>
      <c r="W1602" s="238">
        <f t="shared" si="1388"/>
        <v>28400</v>
      </c>
      <c r="X1602" s="238">
        <f t="shared" si="1388"/>
        <v>28816</v>
      </c>
    </row>
    <row r="1603" spans="1:24" s="255" customFormat="1" hidden="1">
      <c r="A1603" s="278" t="s">
        <v>68</v>
      </c>
      <c r="B1603" s="231" t="s">
        <v>402</v>
      </c>
      <c r="C1603" s="231" t="s">
        <v>18</v>
      </c>
      <c r="D1603" s="231" t="s">
        <v>13</v>
      </c>
      <c r="E1603" s="231"/>
      <c r="F1603" s="231"/>
      <c r="G1603" s="231"/>
      <c r="H1603" s="231"/>
      <c r="I1603" s="242"/>
      <c r="J1603" s="234"/>
      <c r="K1603" s="234"/>
      <c r="L1603" s="234"/>
      <c r="M1603" s="234"/>
      <c r="N1603" s="234"/>
      <c r="O1603" s="234"/>
      <c r="P1603" s="234">
        <f>P1604+P1608</f>
        <v>1654137</v>
      </c>
      <c r="Q1603" s="234">
        <f t="shared" ref="Q1603:U1603" si="1391">Q1604+Q1608</f>
        <v>385464.76</v>
      </c>
      <c r="R1603" s="234">
        <f t="shared" si="1391"/>
        <v>328854.63</v>
      </c>
      <c r="S1603" s="234">
        <f t="shared" si="1391"/>
        <v>0</v>
      </c>
      <c r="T1603" s="234">
        <f t="shared" si="1391"/>
        <v>0</v>
      </c>
      <c r="U1603" s="234">
        <f t="shared" si="1391"/>
        <v>0</v>
      </c>
      <c r="V1603" s="234">
        <f t="shared" si="1388"/>
        <v>1654137</v>
      </c>
      <c r="W1603" s="234">
        <f t="shared" si="1388"/>
        <v>385464.76</v>
      </c>
      <c r="X1603" s="234">
        <f t="shared" si="1388"/>
        <v>328854.63</v>
      </c>
    </row>
    <row r="1604" spans="1:24" s="229" customFormat="1" ht="38.25" hidden="1">
      <c r="A1604" s="298" t="s">
        <v>286</v>
      </c>
      <c r="B1604" s="227" t="s">
        <v>402</v>
      </c>
      <c r="C1604" s="227" t="s">
        <v>18</v>
      </c>
      <c r="D1604" s="227" t="s">
        <v>13</v>
      </c>
      <c r="E1604" s="227" t="s">
        <v>3</v>
      </c>
      <c r="F1604" s="227" t="s">
        <v>70</v>
      </c>
      <c r="G1604" s="227" t="s">
        <v>148</v>
      </c>
      <c r="H1604" s="227" t="s">
        <v>149</v>
      </c>
      <c r="I1604" s="237"/>
      <c r="J1604" s="238"/>
      <c r="K1604" s="238"/>
      <c r="L1604" s="238"/>
      <c r="M1604" s="238"/>
      <c r="N1604" s="238"/>
      <c r="O1604" s="238"/>
      <c r="P1604" s="238">
        <f>P1605</f>
        <v>1273000</v>
      </c>
      <c r="Q1604" s="238">
        <f t="shared" ref="Q1604:U1606" si="1392">Q1605</f>
        <v>0</v>
      </c>
      <c r="R1604" s="238">
        <f t="shared" si="1392"/>
        <v>0</v>
      </c>
      <c r="S1604" s="238">
        <f t="shared" si="1392"/>
        <v>0</v>
      </c>
      <c r="T1604" s="238">
        <f t="shared" si="1392"/>
        <v>0</v>
      </c>
      <c r="U1604" s="238">
        <f t="shared" si="1392"/>
        <v>0</v>
      </c>
      <c r="V1604" s="238">
        <f t="shared" si="1388"/>
        <v>1273000</v>
      </c>
      <c r="W1604" s="238">
        <f t="shared" si="1388"/>
        <v>0</v>
      </c>
      <c r="X1604" s="238">
        <f t="shared" si="1388"/>
        <v>0</v>
      </c>
    </row>
    <row r="1605" spans="1:24" s="229" customFormat="1" ht="25.5" hidden="1">
      <c r="A1605" s="268" t="s">
        <v>312</v>
      </c>
      <c r="B1605" s="227" t="s">
        <v>402</v>
      </c>
      <c r="C1605" s="227" t="s">
        <v>18</v>
      </c>
      <c r="D1605" s="227" t="s">
        <v>13</v>
      </c>
      <c r="E1605" s="227" t="s">
        <v>3</v>
      </c>
      <c r="F1605" s="227" t="s">
        <v>70</v>
      </c>
      <c r="G1605" s="227" t="s">
        <v>148</v>
      </c>
      <c r="H1605" s="227" t="s">
        <v>311</v>
      </c>
      <c r="I1605" s="237"/>
      <c r="J1605" s="238"/>
      <c r="K1605" s="238"/>
      <c r="L1605" s="238"/>
      <c r="M1605" s="238"/>
      <c r="N1605" s="238"/>
      <c r="O1605" s="238"/>
      <c r="P1605" s="238">
        <f>P1606</f>
        <v>1273000</v>
      </c>
      <c r="Q1605" s="238">
        <f t="shared" si="1392"/>
        <v>0</v>
      </c>
      <c r="R1605" s="238">
        <f t="shared" si="1392"/>
        <v>0</v>
      </c>
      <c r="S1605" s="238">
        <f t="shared" si="1392"/>
        <v>0</v>
      </c>
      <c r="T1605" s="238">
        <f t="shared" si="1392"/>
        <v>0</v>
      </c>
      <c r="U1605" s="238">
        <f t="shared" si="1392"/>
        <v>0</v>
      </c>
      <c r="V1605" s="238">
        <f t="shared" si="1388"/>
        <v>1273000</v>
      </c>
      <c r="W1605" s="238">
        <f t="shared" si="1388"/>
        <v>0</v>
      </c>
      <c r="X1605" s="238">
        <f t="shared" si="1388"/>
        <v>0</v>
      </c>
    </row>
    <row r="1606" spans="1:24" s="229" customFormat="1" ht="25.5" hidden="1">
      <c r="A1606" s="240" t="s">
        <v>260</v>
      </c>
      <c r="B1606" s="227" t="s">
        <v>402</v>
      </c>
      <c r="C1606" s="227" t="s">
        <v>18</v>
      </c>
      <c r="D1606" s="227" t="s">
        <v>13</v>
      </c>
      <c r="E1606" s="227" t="s">
        <v>3</v>
      </c>
      <c r="F1606" s="227" t="s">
        <v>70</v>
      </c>
      <c r="G1606" s="227" t="s">
        <v>148</v>
      </c>
      <c r="H1606" s="227" t="s">
        <v>311</v>
      </c>
      <c r="I1606" s="237" t="s">
        <v>94</v>
      </c>
      <c r="J1606" s="238"/>
      <c r="K1606" s="238"/>
      <c r="L1606" s="238"/>
      <c r="M1606" s="238"/>
      <c r="N1606" s="238"/>
      <c r="O1606" s="238"/>
      <c r="P1606" s="238">
        <f>P1607</f>
        <v>1273000</v>
      </c>
      <c r="Q1606" s="238">
        <f t="shared" si="1392"/>
        <v>0</v>
      </c>
      <c r="R1606" s="238">
        <f t="shared" si="1392"/>
        <v>0</v>
      </c>
      <c r="S1606" s="238">
        <f t="shared" si="1392"/>
        <v>0</v>
      </c>
      <c r="T1606" s="238">
        <f t="shared" si="1392"/>
        <v>0</v>
      </c>
      <c r="U1606" s="238">
        <f t="shared" si="1392"/>
        <v>0</v>
      </c>
      <c r="V1606" s="238">
        <f t="shared" si="1388"/>
        <v>1273000</v>
      </c>
      <c r="W1606" s="238">
        <f t="shared" si="1388"/>
        <v>0</v>
      </c>
      <c r="X1606" s="238">
        <f t="shared" si="1388"/>
        <v>0</v>
      </c>
    </row>
    <row r="1607" spans="1:24" s="229" customFormat="1" ht="25.5" hidden="1">
      <c r="A1607" s="239" t="s">
        <v>98</v>
      </c>
      <c r="B1607" s="227" t="s">
        <v>402</v>
      </c>
      <c r="C1607" s="227" t="s">
        <v>18</v>
      </c>
      <c r="D1607" s="227" t="s">
        <v>13</v>
      </c>
      <c r="E1607" s="227" t="s">
        <v>3</v>
      </c>
      <c r="F1607" s="227" t="s">
        <v>70</v>
      </c>
      <c r="G1607" s="227" t="s">
        <v>148</v>
      </c>
      <c r="H1607" s="227" t="s">
        <v>311</v>
      </c>
      <c r="I1607" s="237" t="s">
        <v>95</v>
      </c>
      <c r="J1607" s="238"/>
      <c r="K1607" s="238"/>
      <c r="L1607" s="238"/>
      <c r="M1607" s="238"/>
      <c r="N1607" s="238"/>
      <c r="O1607" s="238"/>
      <c r="P1607" s="238">
        <v>1273000</v>
      </c>
      <c r="Q1607" s="238">
        <f t="shared" ref="Q1607:R1607" si="1393">K1607+N1607</f>
        <v>0</v>
      </c>
      <c r="R1607" s="238">
        <f t="shared" si="1393"/>
        <v>0</v>
      </c>
      <c r="S1607" s="238"/>
      <c r="T1607" s="238"/>
      <c r="U1607" s="238"/>
      <c r="V1607" s="238">
        <f t="shared" si="1388"/>
        <v>1273000</v>
      </c>
      <c r="W1607" s="238">
        <f t="shared" si="1388"/>
        <v>0</v>
      </c>
      <c r="X1607" s="238">
        <f t="shared" si="1388"/>
        <v>0</v>
      </c>
    </row>
    <row r="1608" spans="1:24" s="229" customFormat="1" hidden="1">
      <c r="A1608" s="235" t="s">
        <v>83</v>
      </c>
      <c r="B1608" s="227" t="s">
        <v>402</v>
      </c>
      <c r="C1608" s="227" t="s">
        <v>18</v>
      </c>
      <c r="D1608" s="227" t="s">
        <v>13</v>
      </c>
      <c r="E1608" s="227" t="s">
        <v>82</v>
      </c>
      <c r="F1608" s="227" t="s">
        <v>70</v>
      </c>
      <c r="G1608" s="227" t="s">
        <v>148</v>
      </c>
      <c r="H1608" s="227" t="s">
        <v>149</v>
      </c>
      <c r="I1608" s="237"/>
      <c r="J1608" s="238"/>
      <c r="K1608" s="238"/>
      <c r="L1608" s="238"/>
      <c r="M1608" s="238"/>
      <c r="N1608" s="238"/>
      <c r="O1608" s="238"/>
      <c r="P1608" s="238">
        <f>P1609+P1612</f>
        <v>381137</v>
      </c>
      <c r="Q1608" s="238">
        <f t="shared" ref="Q1608:U1608" si="1394">Q1609+Q1612</f>
        <v>385464.76</v>
      </c>
      <c r="R1608" s="238">
        <f t="shared" si="1394"/>
        <v>328854.63</v>
      </c>
      <c r="S1608" s="238">
        <f t="shared" si="1394"/>
        <v>0</v>
      </c>
      <c r="T1608" s="238">
        <f t="shared" si="1394"/>
        <v>0</v>
      </c>
      <c r="U1608" s="238">
        <f t="shared" si="1394"/>
        <v>0</v>
      </c>
      <c r="V1608" s="238">
        <f t="shared" si="1388"/>
        <v>381137</v>
      </c>
      <c r="W1608" s="238">
        <f t="shared" si="1388"/>
        <v>385464.76</v>
      </c>
      <c r="X1608" s="238">
        <f t="shared" si="1388"/>
        <v>328854.63</v>
      </c>
    </row>
    <row r="1609" spans="1:24" s="229" customFormat="1" ht="14.25" hidden="1">
      <c r="A1609" s="283" t="s">
        <v>362</v>
      </c>
      <c r="B1609" s="227" t="s">
        <v>402</v>
      </c>
      <c r="C1609" s="227" t="s">
        <v>18</v>
      </c>
      <c r="D1609" s="227" t="s">
        <v>13</v>
      </c>
      <c r="E1609" s="227" t="s">
        <v>82</v>
      </c>
      <c r="F1609" s="227" t="s">
        <v>70</v>
      </c>
      <c r="G1609" s="227" t="s">
        <v>148</v>
      </c>
      <c r="H1609" s="227" t="s">
        <v>361</v>
      </c>
      <c r="I1609" s="237"/>
      <c r="J1609" s="238"/>
      <c r="K1609" s="238"/>
      <c r="L1609" s="238"/>
      <c r="M1609" s="238"/>
      <c r="N1609" s="238"/>
      <c r="O1609" s="238"/>
      <c r="P1609" s="238">
        <f>P1610</f>
        <v>28481</v>
      </c>
      <c r="Q1609" s="238">
        <f t="shared" ref="Q1609:U1610" si="1395">Q1610</f>
        <v>28481</v>
      </c>
      <c r="R1609" s="238">
        <f t="shared" si="1395"/>
        <v>28481</v>
      </c>
      <c r="S1609" s="238">
        <f t="shared" si="1395"/>
        <v>0</v>
      </c>
      <c r="T1609" s="238">
        <f t="shared" si="1395"/>
        <v>0</v>
      </c>
      <c r="U1609" s="238">
        <f t="shared" si="1395"/>
        <v>0</v>
      </c>
      <c r="V1609" s="238">
        <f t="shared" ref="V1609:X1614" si="1396">P1609+S1609</f>
        <v>28481</v>
      </c>
      <c r="W1609" s="238">
        <f t="shared" si="1396"/>
        <v>28481</v>
      </c>
      <c r="X1609" s="238">
        <f t="shared" si="1396"/>
        <v>28481</v>
      </c>
    </row>
    <row r="1610" spans="1:24" s="229" customFormat="1" ht="25.5" hidden="1">
      <c r="A1610" s="240" t="s">
        <v>260</v>
      </c>
      <c r="B1610" s="227" t="s">
        <v>402</v>
      </c>
      <c r="C1610" s="227" t="s">
        <v>18</v>
      </c>
      <c r="D1610" s="227" t="s">
        <v>13</v>
      </c>
      <c r="E1610" s="227" t="s">
        <v>82</v>
      </c>
      <c r="F1610" s="227" t="s">
        <v>70</v>
      </c>
      <c r="G1610" s="227" t="s">
        <v>148</v>
      </c>
      <c r="H1610" s="227" t="s">
        <v>361</v>
      </c>
      <c r="I1610" s="237" t="s">
        <v>94</v>
      </c>
      <c r="J1610" s="238"/>
      <c r="K1610" s="238"/>
      <c r="L1610" s="238"/>
      <c r="M1610" s="238"/>
      <c r="N1610" s="238"/>
      <c r="O1610" s="238"/>
      <c r="P1610" s="238">
        <f>P1611</f>
        <v>28481</v>
      </c>
      <c r="Q1610" s="238">
        <f t="shared" si="1395"/>
        <v>28481</v>
      </c>
      <c r="R1610" s="238">
        <f t="shared" si="1395"/>
        <v>28481</v>
      </c>
      <c r="S1610" s="238">
        <f t="shared" si="1395"/>
        <v>0</v>
      </c>
      <c r="T1610" s="238">
        <f t="shared" si="1395"/>
        <v>0</v>
      </c>
      <c r="U1610" s="238">
        <f t="shared" si="1395"/>
        <v>0</v>
      </c>
      <c r="V1610" s="238">
        <f t="shared" si="1396"/>
        <v>28481</v>
      </c>
      <c r="W1610" s="238">
        <f t="shared" si="1396"/>
        <v>28481</v>
      </c>
      <c r="X1610" s="238">
        <f t="shared" si="1396"/>
        <v>28481</v>
      </c>
    </row>
    <row r="1611" spans="1:24" s="229" customFormat="1" ht="25.5" hidden="1">
      <c r="A1611" s="239" t="s">
        <v>98</v>
      </c>
      <c r="B1611" s="227" t="s">
        <v>402</v>
      </c>
      <c r="C1611" s="227" t="s">
        <v>18</v>
      </c>
      <c r="D1611" s="227" t="s">
        <v>13</v>
      </c>
      <c r="E1611" s="227" t="s">
        <v>82</v>
      </c>
      <c r="F1611" s="227" t="s">
        <v>70</v>
      </c>
      <c r="G1611" s="227" t="s">
        <v>148</v>
      </c>
      <c r="H1611" s="227" t="s">
        <v>361</v>
      </c>
      <c r="I1611" s="237" t="s">
        <v>95</v>
      </c>
      <c r="J1611" s="238"/>
      <c r="K1611" s="238"/>
      <c r="L1611" s="238"/>
      <c r="M1611" s="238"/>
      <c r="N1611" s="238"/>
      <c r="O1611" s="238"/>
      <c r="P1611" s="238">
        <v>28481</v>
      </c>
      <c r="Q1611" s="238">
        <v>28481</v>
      </c>
      <c r="R1611" s="238">
        <v>28481</v>
      </c>
      <c r="S1611" s="238"/>
      <c r="T1611" s="238"/>
      <c r="U1611" s="238"/>
      <c r="V1611" s="238">
        <f t="shared" si="1396"/>
        <v>28481</v>
      </c>
      <c r="W1611" s="238">
        <f t="shared" si="1396"/>
        <v>28481</v>
      </c>
      <c r="X1611" s="238">
        <f t="shared" si="1396"/>
        <v>28481</v>
      </c>
    </row>
    <row r="1612" spans="1:24" s="229" customFormat="1" hidden="1">
      <c r="A1612" s="239" t="s">
        <v>367</v>
      </c>
      <c r="B1612" s="227" t="s">
        <v>402</v>
      </c>
      <c r="C1612" s="227" t="s">
        <v>18</v>
      </c>
      <c r="D1612" s="227" t="s">
        <v>13</v>
      </c>
      <c r="E1612" s="227" t="s">
        <v>82</v>
      </c>
      <c r="F1612" s="227" t="s">
        <v>70</v>
      </c>
      <c r="G1612" s="227" t="s">
        <v>148</v>
      </c>
      <c r="H1612" s="227" t="s">
        <v>360</v>
      </c>
      <c r="I1612" s="237"/>
      <c r="J1612" s="238"/>
      <c r="K1612" s="238"/>
      <c r="L1612" s="238"/>
      <c r="M1612" s="238"/>
      <c r="N1612" s="238"/>
      <c r="O1612" s="238"/>
      <c r="P1612" s="238">
        <f>P1613</f>
        <v>352656</v>
      </c>
      <c r="Q1612" s="238">
        <f t="shared" ref="Q1612:U1613" si="1397">Q1613</f>
        <v>356983.76</v>
      </c>
      <c r="R1612" s="238">
        <f t="shared" si="1397"/>
        <v>300373.63</v>
      </c>
      <c r="S1612" s="238">
        <f t="shared" si="1397"/>
        <v>0</v>
      </c>
      <c r="T1612" s="238">
        <f t="shared" si="1397"/>
        <v>0</v>
      </c>
      <c r="U1612" s="238">
        <f t="shared" si="1397"/>
        <v>0</v>
      </c>
      <c r="V1612" s="238">
        <f t="shared" si="1396"/>
        <v>352656</v>
      </c>
      <c r="W1612" s="238">
        <f t="shared" si="1396"/>
        <v>356983.76</v>
      </c>
      <c r="X1612" s="238">
        <f t="shared" si="1396"/>
        <v>300373.63</v>
      </c>
    </row>
    <row r="1613" spans="1:24" s="229" customFormat="1" ht="25.5" hidden="1">
      <c r="A1613" s="240" t="s">
        <v>260</v>
      </c>
      <c r="B1613" s="227" t="s">
        <v>402</v>
      </c>
      <c r="C1613" s="227" t="s">
        <v>18</v>
      </c>
      <c r="D1613" s="227" t="s">
        <v>13</v>
      </c>
      <c r="E1613" s="227" t="s">
        <v>82</v>
      </c>
      <c r="F1613" s="227" t="s">
        <v>70</v>
      </c>
      <c r="G1613" s="227" t="s">
        <v>148</v>
      </c>
      <c r="H1613" s="227" t="s">
        <v>360</v>
      </c>
      <c r="I1613" s="237" t="s">
        <v>94</v>
      </c>
      <c r="J1613" s="238"/>
      <c r="K1613" s="238"/>
      <c r="L1613" s="238"/>
      <c r="M1613" s="238"/>
      <c r="N1613" s="238"/>
      <c r="O1613" s="238"/>
      <c r="P1613" s="238">
        <f>P1614</f>
        <v>352656</v>
      </c>
      <c r="Q1613" s="238">
        <f t="shared" si="1397"/>
        <v>356983.76</v>
      </c>
      <c r="R1613" s="238">
        <f t="shared" si="1397"/>
        <v>300373.63</v>
      </c>
      <c r="S1613" s="238">
        <f t="shared" si="1397"/>
        <v>0</v>
      </c>
      <c r="T1613" s="238">
        <f t="shared" si="1397"/>
        <v>0</v>
      </c>
      <c r="U1613" s="238">
        <f t="shared" si="1397"/>
        <v>0</v>
      </c>
      <c r="V1613" s="238">
        <f t="shared" si="1396"/>
        <v>352656</v>
      </c>
      <c r="W1613" s="238">
        <f t="shared" si="1396"/>
        <v>356983.76</v>
      </c>
      <c r="X1613" s="238">
        <f t="shared" si="1396"/>
        <v>300373.63</v>
      </c>
    </row>
    <row r="1614" spans="1:24" s="229" customFormat="1" ht="25.5" hidden="1">
      <c r="A1614" s="239" t="s">
        <v>98</v>
      </c>
      <c r="B1614" s="227" t="s">
        <v>402</v>
      </c>
      <c r="C1614" s="227" t="s">
        <v>18</v>
      </c>
      <c r="D1614" s="227" t="s">
        <v>13</v>
      </c>
      <c r="E1614" s="227" t="s">
        <v>82</v>
      </c>
      <c r="F1614" s="227" t="s">
        <v>70</v>
      </c>
      <c r="G1614" s="227" t="s">
        <v>148</v>
      </c>
      <c r="H1614" s="227" t="s">
        <v>360</v>
      </c>
      <c r="I1614" s="237" t="s">
        <v>95</v>
      </c>
      <c r="J1614" s="238"/>
      <c r="K1614" s="238"/>
      <c r="L1614" s="238"/>
      <c r="M1614" s="238"/>
      <c r="N1614" s="238"/>
      <c r="O1614" s="238"/>
      <c r="P1614" s="238">
        <f>244462+108194</f>
        <v>352656</v>
      </c>
      <c r="Q1614" s="238">
        <f>244462+112521.76</f>
        <v>356983.76</v>
      </c>
      <c r="R1614" s="238">
        <f>183351+117022.63</f>
        <v>300373.63</v>
      </c>
      <c r="S1614" s="238"/>
      <c r="T1614" s="238"/>
      <c r="U1614" s="238"/>
      <c r="V1614" s="238">
        <f t="shared" si="1396"/>
        <v>352656</v>
      </c>
      <c r="W1614" s="238">
        <f t="shared" si="1396"/>
        <v>356983.76</v>
      </c>
      <c r="X1614" s="238">
        <f t="shared" si="1396"/>
        <v>300373.63</v>
      </c>
    </row>
    <row r="1615" spans="1:24" s="222" customFormat="1" ht="15.75" hidden="1">
      <c r="A1615" s="221" t="s">
        <v>468</v>
      </c>
      <c r="P1615" s="223">
        <f t="shared" ref="P1615:X1615" si="1398">P1616+P1624+P1632+P1641+P1647</f>
        <v>7241707.7199999997</v>
      </c>
      <c r="Q1615" s="223">
        <f t="shared" si="1398"/>
        <v>4574811.58</v>
      </c>
      <c r="R1615" s="223">
        <f t="shared" si="1398"/>
        <v>4456196.38</v>
      </c>
      <c r="S1615" s="223">
        <f t="shared" si="1398"/>
        <v>0</v>
      </c>
      <c r="T1615" s="223">
        <f t="shared" si="1398"/>
        <v>0</v>
      </c>
      <c r="U1615" s="223">
        <f t="shared" si="1398"/>
        <v>0</v>
      </c>
      <c r="V1615" s="223">
        <f t="shared" si="1398"/>
        <v>7241707.7199999997</v>
      </c>
      <c r="W1615" s="223">
        <f t="shared" si="1398"/>
        <v>4574811.58</v>
      </c>
      <c r="X1615" s="223">
        <f t="shared" si="1398"/>
        <v>4456196.38</v>
      </c>
    </row>
    <row r="1616" spans="1:24" s="229" customFormat="1" ht="15.75" hidden="1">
      <c r="A1616" s="225" t="s">
        <v>32</v>
      </c>
      <c r="B1616" s="226" t="s">
        <v>402</v>
      </c>
      <c r="C1616" s="226" t="s">
        <v>20</v>
      </c>
      <c r="D1616" s="227"/>
      <c r="E1616" s="227"/>
      <c r="F1616" s="227"/>
      <c r="G1616" s="227"/>
      <c r="H1616" s="227"/>
      <c r="I1616" s="227"/>
      <c r="J1616" s="228"/>
      <c r="K1616" s="228"/>
      <c r="L1616" s="228"/>
      <c r="M1616" s="228"/>
      <c r="N1616" s="228"/>
      <c r="O1616" s="228"/>
      <c r="P1616" s="228">
        <f>P1617</f>
        <v>4285820</v>
      </c>
      <c r="Q1616" s="228">
        <f t="shared" ref="Q1616:U1618" si="1399">Q1617</f>
        <v>4327373.5</v>
      </c>
      <c r="R1616" s="228">
        <f t="shared" si="1399"/>
        <v>4266878.22</v>
      </c>
      <c r="S1616" s="228">
        <f t="shared" si="1399"/>
        <v>0</v>
      </c>
      <c r="T1616" s="228">
        <f t="shared" si="1399"/>
        <v>0</v>
      </c>
      <c r="U1616" s="228">
        <f t="shared" si="1399"/>
        <v>0</v>
      </c>
      <c r="V1616" s="228">
        <f t="shared" ref="V1616:X1631" si="1400">P1616+S1616</f>
        <v>4285820</v>
      </c>
      <c r="W1616" s="228">
        <f t="shared" si="1400"/>
        <v>4327373.5</v>
      </c>
      <c r="X1616" s="228">
        <f t="shared" si="1400"/>
        <v>4266878.22</v>
      </c>
    </row>
    <row r="1617" spans="1:24" s="229" customFormat="1" ht="38.25" hidden="1">
      <c r="A1617" s="230" t="s">
        <v>0</v>
      </c>
      <c r="B1617" s="231" t="s">
        <v>402</v>
      </c>
      <c r="C1617" s="231" t="s">
        <v>20</v>
      </c>
      <c r="D1617" s="231" t="s">
        <v>16</v>
      </c>
      <c r="E1617" s="231"/>
      <c r="F1617" s="231"/>
      <c r="G1617" s="231"/>
      <c r="H1617" s="227"/>
      <c r="I1617" s="237"/>
      <c r="J1617" s="234"/>
      <c r="K1617" s="234"/>
      <c r="L1617" s="234"/>
      <c r="M1617" s="234"/>
      <c r="N1617" s="234"/>
      <c r="O1617" s="234"/>
      <c r="P1617" s="234">
        <f>P1618</f>
        <v>4285820</v>
      </c>
      <c r="Q1617" s="234">
        <f t="shared" si="1399"/>
        <v>4327373.5</v>
      </c>
      <c r="R1617" s="234">
        <f t="shared" si="1399"/>
        <v>4266878.22</v>
      </c>
      <c r="S1617" s="234">
        <f t="shared" si="1399"/>
        <v>0</v>
      </c>
      <c r="T1617" s="234">
        <f t="shared" si="1399"/>
        <v>0</v>
      </c>
      <c r="U1617" s="234">
        <f t="shared" si="1399"/>
        <v>0</v>
      </c>
      <c r="V1617" s="234">
        <f t="shared" si="1400"/>
        <v>4285820</v>
      </c>
      <c r="W1617" s="234">
        <f t="shared" si="1400"/>
        <v>4327373.5</v>
      </c>
      <c r="X1617" s="234">
        <f t="shared" si="1400"/>
        <v>4266878.22</v>
      </c>
    </row>
    <row r="1618" spans="1:24" s="229" customFormat="1" hidden="1">
      <c r="A1618" s="235" t="s">
        <v>83</v>
      </c>
      <c r="B1618" s="227" t="s">
        <v>402</v>
      </c>
      <c r="C1618" s="227" t="s">
        <v>20</v>
      </c>
      <c r="D1618" s="227" t="s">
        <v>16</v>
      </c>
      <c r="E1618" s="227" t="s">
        <v>82</v>
      </c>
      <c r="F1618" s="227" t="s">
        <v>70</v>
      </c>
      <c r="G1618" s="227" t="s">
        <v>148</v>
      </c>
      <c r="H1618" s="227" t="s">
        <v>149</v>
      </c>
      <c r="I1618" s="237"/>
      <c r="J1618" s="238"/>
      <c r="K1618" s="238"/>
      <c r="L1618" s="238"/>
      <c r="M1618" s="238"/>
      <c r="N1618" s="238"/>
      <c r="O1618" s="238"/>
      <c r="P1618" s="238">
        <f>P1619</f>
        <v>4285820</v>
      </c>
      <c r="Q1618" s="238">
        <f t="shared" si="1399"/>
        <v>4327373.5</v>
      </c>
      <c r="R1618" s="238">
        <f t="shared" si="1399"/>
        <v>4266878.22</v>
      </c>
      <c r="S1618" s="238">
        <f t="shared" si="1399"/>
        <v>0</v>
      </c>
      <c r="T1618" s="238">
        <f t="shared" si="1399"/>
        <v>0</v>
      </c>
      <c r="U1618" s="238">
        <f t="shared" si="1399"/>
        <v>0</v>
      </c>
      <c r="V1618" s="238">
        <f t="shared" si="1400"/>
        <v>4285820</v>
      </c>
      <c r="W1618" s="238">
        <f t="shared" si="1400"/>
        <v>4327373.5</v>
      </c>
      <c r="X1618" s="238">
        <f t="shared" si="1400"/>
        <v>4266878.22</v>
      </c>
    </row>
    <row r="1619" spans="1:24" s="229" customFormat="1" ht="25.5" hidden="1">
      <c r="A1619" s="235" t="s">
        <v>87</v>
      </c>
      <c r="B1619" s="227" t="s">
        <v>402</v>
      </c>
      <c r="C1619" s="227" t="s">
        <v>20</v>
      </c>
      <c r="D1619" s="227" t="s">
        <v>16</v>
      </c>
      <c r="E1619" s="227" t="s">
        <v>82</v>
      </c>
      <c r="F1619" s="227" t="s">
        <v>70</v>
      </c>
      <c r="G1619" s="227" t="s">
        <v>148</v>
      </c>
      <c r="H1619" s="227" t="s">
        <v>158</v>
      </c>
      <c r="I1619" s="237"/>
      <c r="J1619" s="238"/>
      <c r="K1619" s="238"/>
      <c r="L1619" s="238"/>
      <c r="M1619" s="238"/>
      <c r="N1619" s="238"/>
      <c r="O1619" s="238"/>
      <c r="P1619" s="238">
        <f>P1620+P1622</f>
        <v>4285820</v>
      </c>
      <c r="Q1619" s="238">
        <f t="shared" ref="Q1619:U1619" si="1401">Q1620+Q1622</f>
        <v>4327373.5</v>
      </c>
      <c r="R1619" s="238">
        <f t="shared" si="1401"/>
        <v>4266878.22</v>
      </c>
      <c r="S1619" s="238">
        <f t="shared" si="1401"/>
        <v>0</v>
      </c>
      <c r="T1619" s="238">
        <f t="shared" si="1401"/>
        <v>0</v>
      </c>
      <c r="U1619" s="238">
        <f t="shared" si="1401"/>
        <v>0</v>
      </c>
      <c r="V1619" s="238">
        <f t="shared" si="1400"/>
        <v>4285820</v>
      </c>
      <c r="W1619" s="238">
        <f t="shared" si="1400"/>
        <v>4327373.5</v>
      </c>
      <c r="X1619" s="238">
        <f t="shared" si="1400"/>
        <v>4266878.22</v>
      </c>
    </row>
    <row r="1620" spans="1:24" s="229" customFormat="1" ht="38.25" hidden="1">
      <c r="A1620" s="239" t="s">
        <v>96</v>
      </c>
      <c r="B1620" s="227" t="s">
        <v>402</v>
      </c>
      <c r="C1620" s="227" t="s">
        <v>20</v>
      </c>
      <c r="D1620" s="227" t="s">
        <v>16</v>
      </c>
      <c r="E1620" s="227" t="s">
        <v>82</v>
      </c>
      <c r="F1620" s="227" t="s">
        <v>70</v>
      </c>
      <c r="G1620" s="227" t="s">
        <v>148</v>
      </c>
      <c r="H1620" s="227" t="s">
        <v>158</v>
      </c>
      <c r="I1620" s="237" t="s">
        <v>92</v>
      </c>
      <c r="J1620" s="238"/>
      <c r="K1620" s="238"/>
      <c r="L1620" s="238"/>
      <c r="M1620" s="238"/>
      <c r="N1620" s="238"/>
      <c r="O1620" s="238"/>
      <c r="P1620" s="238">
        <f>P1621</f>
        <v>4030035</v>
      </c>
      <c r="Q1620" s="238">
        <f t="shared" ref="Q1620:U1620" si="1402">Q1621</f>
        <v>4069360.54</v>
      </c>
      <c r="R1620" s="238">
        <f t="shared" si="1402"/>
        <v>4069079.2199999997</v>
      </c>
      <c r="S1620" s="238">
        <f t="shared" si="1402"/>
        <v>0</v>
      </c>
      <c r="T1620" s="238">
        <f t="shared" si="1402"/>
        <v>0</v>
      </c>
      <c r="U1620" s="238">
        <f t="shared" si="1402"/>
        <v>0</v>
      </c>
      <c r="V1620" s="238">
        <f t="shared" si="1400"/>
        <v>4030035</v>
      </c>
      <c r="W1620" s="238">
        <f t="shared" si="1400"/>
        <v>4069360.54</v>
      </c>
      <c r="X1620" s="238">
        <f t="shared" si="1400"/>
        <v>4069079.2199999997</v>
      </c>
    </row>
    <row r="1621" spans="1:24" s="229" customFormat="1" hidden="1">
      <c r="A1621" s="239" t="s">
        <v>103</v>
      </c>
      <c r="B1621" s="227" t="s">
        <v>402</v>
      </c>
      <c r="C1621" s="227" t="s">
        <v>20</v>
      </c>
      <c r="D1621" s="227" t="s">
        <v>16</v>
      </c>
      <c r="E1621" s="227" t="s">
        <v>82</v>
      </c>
      <c r="F1621" s="227" t="s">
        <v>70</v>
      </c>
      <c r="G1621" s="227" t="s">
        <v>148</v>
      </c>
      <c r="H1621" s="227" t="s">
        <v>158</v>
      </c>
      <c r="I1621" s="237" t="s">
        <v>102</v>
      </c>
      <c r="J1621" s="238"/>
      <c r="K1621" s="238"/>
      <c r="L1621" s="238"/>
      <c r="M1621" s="238"/>
      <c r="N1621" s="238"/>
      <c r="O1621" s="238"/>
      <c r="P1621" s="238">
        <f>2744915+97492+1187628</f>
        <v>4030035</v>
      </c>
      <c r="Q1621" s="238">
        <f>2772364+97492+1199504.54</f>
        <v>4069360.54</v>
      </c>
      <c r="R1621" s="238">
        <f>2868137+57492+1143450.22</f>
        <v>4069079.2199999997</v>
      </c>
      <c r="S1621" s="238"/>
      <c r="T1621" s="238"/>
      <c r="U1621" s="238"/>
      <c r="V1621" s="238">
        <f t="shared" si="1400"/>
        <v>4030035</v>
      </c>
      <c r="W1621" s="238">
        <f t="shared" si="1400"/>
        <v>4069360.54</v>
      </c>
      <c r="X1621" s="238">
        <f t="shared" si="1400"/>
        <v>4069079.2199999997</v>
      </c>
    </row>
    <row r="1622" spans="1:24" s="229" customFormat="1" ht="25.5" hidden="1">
      <c r="A1622" s="240" t="s">
        <v>260</v>
      </c>
      <c r="B1622" s="227" t="s">
        <v>402</v>
      </c>
      <c r="C1622" s="227" t="s">
        <v>20</v>
      </c>
      <c r="D1622" s="227" t="s">
        <v>16</v>
      </c>
      <c r="E1622" s="227" t="s">
        <v>82</v>
      </c>
      <c r="F1622" s="227" t="s">
        <v>70</v>
      </c>
      <c r="G1622" s="227" t="s">
        <v>148</v>
      </c>
      <c r="H1622" s="227" t="s">
        <v>158</v>
      </c>
      <c r="I1622" s="237" t="s">
        <v>94</v>
      </c>
      <c r="J1622" s="238"/>
      <c r="K1622" s="238"/>
      <c r="L1622" s="238"/>
      <c r="M1622" s="238"/>
      <c r="N1622" s="238"/>
      <c r="O1622" s="238"/>
      <c r="P1622" s="238">
        <f>P1623</f>
        <v>255785</v>
      </c>
      <c r="Q1622" s="238">
        <f t="shared" ref="Q1622:U1622" si="1403">Q1623</f>
        <v>258012.96</v>
      </c>
      <c r="R1622" s="238">
        <f t="shared" si="1403"/>
        <v>197799</v>
      </c>
      <c r="S1622" s="238">
        <f t="shared" si="1403"/>
        <v>0</v>
      </c>
      <c r="T1622" s="238">
        <f t="shared" si="1403"/>
        <v>0</v>
      </c>
      <c r="U1622" s="238">
        <f t="shared" si="1403"/>
        <v>0</v>
      </c>
      <c r="V1622" s="238">
        <f t="shared" si="1400"/>
        <v>255785</v>
      </c>
      <c r="W1622" s="238">
        <f t="shared" si="1400"/>
        <v>258012.96</v>
      </c>
      <c r="X1622" s="238">
        <f t="shared" si="1400"/>
        <v>197799</v>
      </c>
    </row>
    <row r="1623" spans="1:24" s="229" customFormat="1" ht="25.5" hidden="1">
      <c r="A1623" s="239" t="s">
        <v>98</v>
      </c>
      <c r="B1623" s="227" t="s">
        <v>402</v>
      </c>
      <c r="C1623" s="227" t="s">
        <v>20</v>
      </c>
      <c r="D1623" s="227" t="s">
        <v>16</v>
      </c>
      <c r="E1623" s="227" t="s">
        <v>82</v>
      </c>
      <c r="F1623" s="227" t="s">
        <v>70</v>
      </c>
      <c r="G1623" s="227" t="s">
        <v>148</v>
      </c>
      <c r="H1623" s="227" t="s">
        <v>158</v>
      </c>
      <c r="I1623" s="237" t="s">
        <v>95</v>
      </c>
      <c r="J1623" s="238"/>
      <c r="K1623" s="238"/>
      <c r="L1623" s="238"/>
      <c r="M1623" s="238"/>
      <c r="N1623" s="238"/>
      <c r="O1623" s="238"/>
      <c r="P1623" s="238">
        <f>240855+14930</f>
        <v>255785</v>
      </c>
      <c r="Q1623" s="238">
        <f>242187.16+15825.8</f>
        <v>258012.96</v>
      </c>
      <c r="R1623" s="238">
        <f>137582+60217</f>
        <v>197799</v>
      </c>
      <c r="S1623" s="238"/>
      <c r="T1623" s="238"/>
      <c r="U1623" s="238"/>
      <c r="V1623" s="238">
        <f t="shared" si="1400"/>
        <v>255785</v>
      </c>
      <c r="W1623" s="238">
        <f t="shared" si="1400"/>
        <v>258012.96</v>
      </c>
      <c r="X1623" s="238">
        <f t="shared" si="1400"/>
        <v>197799</v>
      </c>
    </row>
    <row r="1624" spans="1:24" s="229" customFormat="1" ht="15.75" hidden="1">
      <c r="A1624" s="249" t="s">
        <v>54</v>
      </c>
      <c r="B1624" s="226" t="s">
        <v>402</v>
      </c>
      <c r="C1624" s="226" t="s">
        <v>17</v>
      </c>
      <c r="D1624" s="227"/>
      <c r="E1624" s="227"/>
      <c r="F1624" s="227"/>
      <c r="G1624" s="227"/>
      <c r="H1624" s="227"/>
      <c r="I1624" s="237"/>
      <c r="J1624" s="228"/>
      <c r="K1624" s="228"/>
      <c r="L1624" s="228"/>
      <c r="M1624" s="228"/>
      <c r="N1624" s="228"/>
      <c r="O1624" s="228"/>
      <c r="P1624" s="228">
        <f>P1625</f>
        <v>63322.720000000001</v>
      </c>
      <c r="Q1624" s="228">
        <f t="shared" ref="Q1624:U1626" si="1404">Q1625</f>
        <v>0</v>
      </c>
      <c r="R1624" s="228">
        <f t="shared" si="1404"/>
        <v>0</v>
      </c>
      <c r="S1624" s="228">
        <f t="shared" si="1404"/>
        <v>0</v>
      </c>
      <c r="T1624" s="228">
        <f t="shared" si="1404"/>
        <v>0</v>
      </c>
      <c r="U1624" s="228">
        <f t="shared" si="1404"/>
        <v>0</v>
      </c>
      <c r="V1624" s="228">
        <f t="shared" si="1400"/>
        <v>63322.720000000001</v>
      </c>
      <c r="W1624" s="228">
        <f t="shared" si="1400"/>
        <v>0</v>
      </c>
      <c r="X1624" s="228">
        <f t="shared" si="1400"/>
        <v>0</v>
      </c>
    </row>
    <row r="1625" spans="1:24" s="229" customFormat="1" hidden="1">
      <c r="A1625" s="250" t="s">
        <v>55</v>
      </c>
      <c r="B1625" s="232" t="s">
        <v>402</v>
      </c>
      <c r="C1625" s="232" t="s">
        <v>17</v>
      </c>
      <c r="D1625" s="232" t="s">
        <v>13</v>
      </c>
      <c r="E1625" s="232"/>
      <c r="F1625" s="232"/>
      <c r="G1625" s="232"/>
      <c r="H1625" s="232"/>
      <c r="I1625" s="233"/>
      <c r="J1625" s="234"/>
      <c r="K1625" s="234"/>
      <c r="L1625" s="234"/>
      <c r="M1625" s="234"/>
      <c r="N1625" s="234"/>
      <c r="O1625" s="234"/>
      <c r="P1625" s="234">
        <f>P1626</f>
        <v>63322.720000000001</v>
      </c>
      <c r="Q1625" s="234">
        <f t="shared" si="1404"/>
        <v>0</v>
      </c>
      <c r="R1625" s="234">
        <f t="shared" si="1404"/>
        <v>0</v>
      </c>
      <c r="S1625" s="234">
        <f t="shared" si="1404"/>
        <v>0</v>
      </c>
      <c r="T1625" s="234">
        <f t="shared" si="1404"/>
        <v>0</v>
      </c>
      <c r="U1625" s="234">
        <f t="shared" si="1404"/>
        <v>0</v>
      </c>
      <c r="V1625" s="234">
        <f t="shared" si="1400"/>
        <v>63322.720000000001</v>
      </c>
      <c r="W1625" s="234">
        <f t="shared" si="1400"/>
        <v>0</v>
      </c>
      <c r="X1625" s="234">
        <f t="shared" si="1400"/>
        <v>0</v>
      </c>
    </row>
    <row r="1626" spans="1:24" s="229" customFormat="1" hidden="1">
      <c r="A1626" s="235" t="s">
        <v>83</v>
      </c>
      <c r="B1626" s="247" t="s">
        <v>402</v>
      </c>
      <c r="C1626" s="227" t="s">
        <v>17</v>
      </c>
      <c r="D1626" s="227" t="s">
        <v>13</v>
      </c>
      <c r="E1626" s="227" t="s">
        <v>82</v>
      </c>
      <c r="F1626" s="227" t="s">
        <v>70</v>
      </c>
      <c r="G1626" s="227" t="s">
        <v>148</v>
      </c>
      <c r="H1626" s="227" t="s">
        <v>149</v>
      </c>
      <c r="I1626" s="237"/>
      <c r="J1626" s="244"/>
      <c r="K1626" s="244"/>
      <c r="L1626" s="244"/>
      <c r="M1626" s="244"/>
      <c r="N1626" s="244"/>
      <c r="O1626" s="244"/>
      <c r="P1626" s="244">
        <f>P1627</f>
        <v>63322.720000000001</v>
      </c>
      <c r="Q1626" s="244">
        <f t="shared" si="1404"/>
        <v>0</v>
      </c>
      <c r="R1626" s="244">
        <f t="shared" si="1404"/>
        <v>0</v>
      </c>
      <c r="S1626" s="244">
        <f t="shared" si="1404"/>
        <v>0</v>
      </c>
      <c r="T1626" s="244">
        <f t="shared" si="1404"/>
        <v>0</v>
      </c>
      <c r="U1626" s="244">
        <f t="shared" si="1404"/>
        <v>0</v>
      </c>
      <c r="V1626" s="244">
        <f t="shared" si="1400"/>
        <v>63322.720000000001</v>
      </c>
      <c r="W1626" s="244">
        <f t="shared" si="1400"/>
        <v>0</v>
      </c>
      <c r="X1626" s="244">
        <f t="shared" si="1400"/>
        <v>0</v>
      </c>
    </row>
    <row r="1627" spans="1:24" s="229" customFormat="1" ht="25.5" hidden="1">
      <c r="A1627" s="235" t="s">
        <v>304</v>
      </c>
      <c r="B1627" s="247" t="s">
        <v>402</v>
      </c>
      <c r="C1627" s="227" t="s">
        <v>17</v>
      </c>
      <c r="D1627" s="227" t="s">
        <v>13</v>
      </c>
      <c r="E1627" s="227" t="s">
        <v>82</v>
      </c>
      <c r="F1627" s="227" t="s">
        <v>70</v>
      </c>
      <c r="G1627" s="227" t="s">
        <v>148</v>
      </c>
      <c r="H1627" s="227" t="s">
        <v>305</v>
      </c>
      <c r="I1627" s="237"/>
      <c r="J1627" s="244"/>
      <c r="K1627" s="244"/>
      <c r="L1627" s="244"/>
      <c r="M1627" s="244"/>
      <c r="N1627" s="244"/>
      <c r="O1627" s="244"/>
      <c r="P1627" s="244">
        <f>P1628+P1630</f>
        <v>63322.720000000001</v>
      </c>
      <c r="Q1627" s="244">
        <f t="shared" ref="Q1627:U1627" si="1405">Q1628+Q1630</f>
        <v>0</v>
      </c>
      <c r="R1627" s="244">
        <f t="shared" si="1405"/>
        <v>0</v>
      </c>
      <c r="S1627" s="244">
        <f t="shared" si="1405"/>
        <v>0</v>
      </c>
      <c r="T1627" s="244">
        <f t="shared" si="1405"/>
        <v>0</v>
      </c>
      <c r="U1627" s="244">
        <f t="shared" si="1405"/>
        <v>0</v>
      </c>
      <c r="V1627" s="244">
        <f t="shared" si="1400"/>
        <v>63322.720000000001</v>
      </c>
      <c r="W1627" s="244">
        <f t="shared" si="1400"/>
        <v>0</v>
      </c>
      <c r="X1627" s="244">
        <f t="shared" si="1400"/>
        <v>0</v>
      </c>
    </row>
    <row r="1628" spans="1:24" s="229" customFormat="1" ht="38.25" hidden="1">
      <c r="A1628" s="239" t="s">
        <v>96</v>
      </c>
      <c r="B1628" s="247" t="s">
        <v>402</v>
      </c>
      <c r="C1628" s="227" t="s">
        <v>17</v>
      </c>
      <c r="D1628" s="227" t="s">
        <v>13</v>
      </c>
      <c r="E1628" s="227" t="s">
        <v>82</v>
      </c>
      <c r="F1628" s="227" t="s">
        <v>70</v>
      </c>
      <c r="G1628" s="227" t="s">
        <v>148</v>
      </c>
      <c r="H1628" s="227" t="s">
        <v>305</v>
      </c>
      <c r="I1628" s="237" t="s">
        <v>92</v>
      </c>
      <c r="J1628" s="244"/>
      <c r="K1628" s="244"/>
      <c r="L1628" s="244"/>
      <c r="M1628" s="244"/>
      <c r="N1628" s="244"/>
      <c r="O1628" s="244"/>
      <c r="P1628" s="244">
        <f>P1629</f>
        <v>31248</v>
      </c>
      <c r="Q1628" s="244">
        <f t="shared" ref="Q1628:U1628" si="1406">Q1629</f>
        <v>0</v>
      </c>
      <c r="R1628" s="244">
        <f t="shared" si="1406"/>
        <v>0</v>
      </c>
      <c r="S1628" s="244">
        <f t="shared" si="1406"/>
        <v>0</v>
      </c>
      <c r="T1628" s="244">
        <f t="shared" si="1406"/>
        <v>0</v>
      </c>
      <c r="U1628" s="244">
        <f t="shared" si="1406"/>
        <v>0</v>
      </c>
      <c r="V1628" s="244">
        <f t="shared" si="1400"/>
        <v>31248</v>
      </c>
      <c r="W1628" s="244">
        <f t="shared" si="1400"/>
        <v>0</v>
      </c>
      <c r="X1628" s="244">
        <f t="shared" si="1400"/>
        <v>0</v>
      </c>
    </row>
    <row r="1629" spans="1:24" s="229" customFormat="1" hidden="1">
      <c r="A1629" s="239" t="s">
        <v>103</v>
      </c>
      <c r="B1629" s="247" t="s">
        <v>402</v>
      </c>
      <c r="C1629" s="227" t="s">
        <v>17</v>
      </c>
      <c r="D1629" s="227" t="s">
        <v>13</v>
      </c>
      <c r="E1629" s="227" t="s">
        <v>82</v>
      </c>
      <c r="F1629" s="227" t="s">
        <v>70</v>
      </c>
      <c r="G1629" s="227" t="s">
        <v>148</v>
      </c>
      <c r="H1629" s="227" t="s">
        <v>305</v>
      </c>
      <c r="I1629" s="237" t="s">
        <v>102</v>
      </c>
      <c r="J1629" s="244"/>
      <c r="K1629" s="244"/>
      <c r="L1629" s="244"/>
      <c r="M1629" s="244"/>
      <c r="N1629" s="244"/>
      <c r="O1629" s="244"/>
      <c r="P1629" s="244">
        <f>23811+7437</f>
        <v>31248</v>
      </c>
      <c r="Q1629" s="244"/>
      <c r="R1629" s="244"/>
      <c r="S1629" s="244"/>
      <c r="T1629" s="244"/>
      <c r="U1629" s="244"/>
      <c r="V1629" s="244">
        <f t="shared" si="1400"/>
        <v>31248</v>
      </c>
      <c r="W1629" s="244">
        <f t="shared" si="1400"/>
        <v>0</v>
      </c>
      <c r="X1629" s="244">
        <f t="shared" si="1400"/>
        <v>0</v>
      </c>
    </row>
    <row r="1630" spans="1:24" s="229" customFormat="1" ht="25.5" hidden="1">
      <c r="A1630" s="240" t="s">
        <v>260</v>
      </c>
      <c r="B1630" s="247" t="s">
        <v>402</v>
      </c>
      <c r="C1630" s="227" t="s">
        <v>17</v>
      </c>
      <c r="D1630" s="227" t="s">
        <v>13</v>
      </c>
      <c r="E1630" s="227" t="s">
        <v>82</v>
      </c>
      <c r="F1630" s="227" t="s">
        <v>70</v>
      </c>
      <c r="G1630" s="227" t="s">
        <v>148</v>
      </c>
      <c r="H1630" s="227" t="s">
        <v>305</v>
      </c>
      <c r="I1630" s="237" t="s">
        <v>94</v>
      </c>
      <c r="J1630" s="244"/>
      <c r="K1630" s="244"/>
      <c r="L1630" s="244"/>
      <c r="M1630" s="244"/>
      <c r="N1630" s="244"/>
      <c r="O1630" s="244"/>
      <c r="P1630" s="244">
        <f>P1631</f>
        <v>32074.720000000001</v>
      </c>
      <c r="Q1630" s="244">
        <f t="shared" ref="Q1630:U1630" si="1407">Q1631</f>
        <v>0</v>
      </c>
      <c r="R1630" s="244">
        <f t="shared" si="1407"/>
        <v>0</v>
      </c>
      <c r="S1630" s="244">
        <f t="shared" si="1407"/>
        <v>0</v>
      </c>
      <c r="T1630" s="244">
        <f t="shared" si="1407"/>
        <v>0</v>
      </c>
      <c r="U1630" s="244">
        <f t="shared" si="1407"/>
        <v>0</v>
      </c>
      <c r="V1630" s="244">
        <f t="shared" si="1400"/>
        <v>32074.720000000001</v>
      </c>
      <c r="W1630" s="244">
        <f t="shared" si="1400"/>
        <v>0</v>
      </c>
      <c r="X1630" s="244">
        <f t="shared" si="1400"/>
        <v>0</v>
      </c>
    </row>
    <row r="1631" spans="1:24" s="229" customFormat="1" ht="25.5" hidden="1">
      <c r="A1631" s="239" t="s">
        <v>98</v>
      </c>
      <c r="B1631" s="247" t="s">
        <v>402</v>
      </c>
      <c r="C1631" s="227" t="s">
        <v>17</v>
      </c>
      <c r="D1631" s="227" t="s">
        <v>13</v>
      </c>
      <c r="E1631" s="227" t="s">
        <v>82</v>
      </c>
      <c r="F1631" s="227" t="s">
        <v>70</v>
      </c>
      <c r="G1631" s="227" t="s">
        <v>148</v>
      </c>
      <c r="H1631" s="227" t="s">
        <v>305</v>
      </c>
      <c r="I1631" s="237" t="s">
        <v>95</v>
      </c>
      <c r="J1631" s="244"/>
      <c r="K1631" s="244"/>
      <c r="L1631" s="244"/>
      <c r="M1631" s="244"/>
      <c r="N1631" s="244"/>
      <c r="O1631" s="244"/>
      <c r="P1631" s="244">
        <v>32074.720000000001</v>
      </c>
      <c r="Q1631" s="244"/>
      <c r="R1631" s="244"/>
      <c r="S1631" s="244"/>
      <c r="T1631" s="244"/>
      <c r="U1631" s="244"/>
      <c r="V1631" s="244">
        <f t="shared" si="1400"/>
        <v>32074.720000000001</v>
      </c>
      <c r="W1631" s="244">
        <f t="shared" si="1400"/>
        <v>0</v>
      </c>
      <c r="X1631" s="244">
        <f t="shared" si="1400"/>
        <v>0</v>
      </c>
    </row>
    <row r="1632" spans="1:24" s="255" customFormat="1" ht="31.5" hidden="1">
      <c r="A1632" s="249" t="s">
        <v>26</v>
      </c>
      <c r="B1632" s="251" t="s">
        <v>402</v>
      </c>
      <c r="C1632" s="251" t="s">
        <v>13</v>
      </c>
      <c r="D1632" s="252"/>
      <c r="E1632" s="252"/>
      <c r="F1632" s="252"/>
      <c r="G1632" s="252"/>
      <c r="H1632" s="252"/>
      <c r="I1632" s="253"/>
      <c r="J1632" s="254"/>
      <c r="K1632" s="254"/>
      <c r="L1632" s="254"/>
      <c r="M1632" s="254"/>
      <c r="N1632" s="254"/>
      <c r="O1632" s="254"/>
      <c r="P1632" s="254">
        <f>P1633</f>
        <v>648000</v>
      </c>
      <c r="Q1632" s="254">
        <f t="shared" ref="Q1632:U1633" si="1408">Q1633</f>
        <v>0</v>
      </c>
      <c r="R1632" s="254">
        <f t="shared" si="1408"/>
        <v>0</v>
      </c>
      <c r="S1632" s="254">
        <f t="shared" si="1408"/>
        <v>0</v>
      </c>
      <c r="T1632" s="254">
        <f t="shared" si="1408"/>
        <v>0</v>
      </c>
      <c r="U1632" s="254">
        <f t="shared" si="1408"/>
        <v>0</v>
      </c>
      <c r="V1632" s="254">
        <f t="shared" ref="V1632:X1641" si="1409">P1632+S1632</f>
        <v>648000</v>
      </c>
      <c r="W1632" s="254">
        <f t="shared" si="1409"/>
        <v>0</v>
      </c>
      <c r="X1632" s="254">
        <f t="shared" si="1409"/>
        <v>0</v>
      </c>
    </row>
    <row r="1633" spans="1:24" s="229" customFormat="1" ht="38.25" hidden="1">
      <c r="A1633" s="256" t="s">
        <v>230</v>
      </c>
      <c r="B1633" s="257" t="s">
        <v>402</v>
      </c>
      <c r="C1633" s="257" t="s">
        <v>13</v>
      </c>
      <c r="D1633" s="257" t="s">
        <v>30</v>
      </c>
      <c r="E1633" s="257"/>
      <c r="F1633" s="257"/>
      <c r="G1633" s="257"/>
      <c r="H1633" s="257"/>
      <c r="I1633" s="258"/>
      <c r="J1633" s="259"/>
      <c r="K1633" s="259"/>
      <c r="L1633" s="259"/>
      <c r="M1633" s="259"/>
      <c r="N1633" s="259"/>
      <c r="O1633" s="259"/>
      <c r="P1633" s="259">
        <f>P1634</f>
        <v>648000</v>
      </c>
      <c r="Q1633" s="259">
        <f t="shared" si="1408"/>
        <v>0</v>
      </c>
      <c r="R1633" s="259">
        <f t="shared" si="1408"/>
        <v>0</v>
      </c>
      <c r="S1633" s="259">
        <f t="shared" si="1408"/>
        <v>0</v>
      </c>
      <c r="T1633" s="259">
        <f t="shared" si="1408"/>
        <v>0</v>
      </c>
      <c r="U1633" s="259">
        <f t="shared" si="1408"/>
        <v>0</v>
      </c>
      <c r="V1633" s="259">
        <f t="shared" si="1409"/>
        <v>648000</v>
      </c>
      <c r="W1633" s="259">
        <f t="shared" si="1409"/>
        <v>0</v>
      </c>
      <c r="X1633" s="259">
        <f t="shared" si="1409"/>
        <v>0</v>
      </c>
    </row>
    <row r="1634" spans="1:24" s="229" customFormat="1" hidden="1">
      <c r="A1634" s="260" t="s">
        <v>290</v>
      </c>
      <c r="B1634" s="261" t="s">
        <v>402</v>
      </c>
      <c r="C1634" s="261" t="s">
        <v>13</v>
      </c>
      <c r="D1634" s="261" t="s">
        <v>30</v>
      </c>
      <c r="E1634" s="261" t="s">
        <v>214</v>
      </c>
      <c r="F1634" s="261" t="s">
        <v>70</v>
      </c>
      <c r="G1634" s="261" t="s">
        <v>148</v>
      </c>
      <c r="H1634" s="261" t="s">
        <v>149</v>
      </c>
      <c r="I1634" s="262"/>
      <c r="J1634" s="263"/>
      <c r="K1634" s="263"/>
      <c r="L1634" s="263"/>
      <c r="M1634" s="263"/>
      <c r="N1634" s="263"/>
      <c r="O1634" s="263"/>
      <c r="P1634" s="263">
        <f>P1635+P1638</f>
        <v>648000</v>
      </c>
      <c r="Q1634" s="263">
        <f t="shared" ref="Q1634:U1634" si="1410">Q1635+Q1638</f>
        <v>0</v>
      </c>
      <c r="R1634" s="263">
        <f t="shared" si="1410"/>
        <v>0</v>
      </c>
      <c r="S1634" s="263">
        <f t="shared" si="1410"/>
        <v>0</v>
      </c>
      <c r="T1634" s="263">
        <f t="shared" si="1410"/>
        <v>0</v>
      </c>
      <c r="U1634" s="263">
        <f t="shared" si="1410"/>
        <v>0</v>
      </c>
      <c r="V1634" s="263">
        <f t="shared" si="1409"/>
        <v>648000</v>
      </c>
      <c r="W1634" s="263">
        <f t="shared" si="1409"/>
        <v>0</v>
      </c>
      <c r="X1634" s="263">
        <f t="shared" si="1409"/>
        <v>0</v>
      </c>
    </row>
    <row r="1635" spans="1:24" s="229" customFormat="1" hidden="1">
      <c r="A1635" s="241" t="s">
        <v>336</v>
      </c>
      <c r="B1635" s="261" t="s">
        <v>402</v>
      </c>
      <c r="C1635" s="261" t="s">
        <v>13</v>
      </c>
      <c r="D1635" s="261" t="s">
        <v>30</v>
      </c>
      <c r="E1635" s="261" t="s">
        <v>214</v>
      </c>
      <c r="F1635" s="261" t="s">
        <v>70</v>
      </c>
      <c r="G1635" s="261" t="s">
        <v>148</v>
      </c>
      <c r="H1635" s="261" t="s">
        <v>335</v>
      </c>
      <c r="I1635" s="262"/>
      <c r="J1635" s="263"/>
      <c r="K1635" s="263"/>
      <c r="L1635" s="263"/>
      <c r="M1635" s="263"/>
      <c r="N1635" s="263"/>
      <c r="O1635" s="263"/>
      <c r="P1635" s="263">
        <f>P1636</f>
        <v>58000</v>
      </c>
      <c r="Q1635" s="263">
        <f t="shared" ref="Q1635:U1636" si="1411">Q1636</f>
        <v>0</v>
      </c>
      <c r="R1635" s="263">
        <f t="shared" si="1411"/>
        <v>0</v>
      </c>
      <c r="S1635" s="263">
        <f t="shared" si="1411"/>
        <v>0</v>
      </c>
      <c r="T1635" s="263">
        <f t="shared" si="1411"/>
        <v>0</v>
      </c>
      <c r="U1635" s="263">
        <f t="shared" si="1411"/>
        <v>0</v>
      </c>
      <c r="V1635" s="263">
        <f t="shared" si="1409"/>
        <v>58000</v>
      </c>
      <c r="W1635" s="263">
        <f t="shared" si="1409"/>
        <v>0</v>
      </c>
      <c r="X1635" s="263">
        <f t="shared" si="1409"/>
        <v>0</v>
      </c>
    </row>
    <row r="1636" spans="1:24" s="229" customFormat="1" ht="25.5" hidden="1">
      <c r="A1636" s="240" t="s">
        <v>260</v>
      </c>
      <c r="B1636" s="261" t="s">
        <v>402</v>
      </c>
      <c r="C1636" s="261" t="s">
        <v>13</v>
      </c>
      <c r="D1636" s="261" t="s">
        <v>30</v>
      </c>
      <c r="E1636" s="261" t="s">
        <v>214</v>
      </c>
      <c r="F1636" s="261" t="s">
        <v>70</v>
      </c>
      <c r="G1636" s="261" t="s">
        <v>148</v>
      </c>
      <c r="H1636" s="261" t="s">
        <v>335</v>
      </c>
      <c r="I1636" s="262" t="s">
        <v>94</v>
      </c>
      <c r="J1636" s="263"/>
      <c r="K1636" s="263"/>
      <c r="L1636" s="263"/>
      <c r="M1636" s="263"/>
      <c r="N1636" s="263"/>
      <c r="O1636" s="263"/>
      <c r="P1636" s="263">
        <f>P1637</f>
        <v>58000</v>
      </c>
      <c r="Q1636" s="263">
        <f t="shared" si="1411"/>
        <v>0</v>
      </c>
      <c r="R1636" s="263">
        <f t="shared" si="1411"/>
        <v>0</v>
      </c>
      <c r="S1636" s="263">
        <f t="shared" si="1411"/>
        <v>0</v>
      </c>
      <c r="T1636" s="263">
        <f t="shared" si="1411"/>
        <v>0</v>
      </c>
      <c r="U1636" s="263">
        <f t="shared" si="1411"/>
        <v>0</v>
      </c>
      <c r="V1636" s="263">
        <f t="shared" si="1409"/>
        <v>58000</v>
      </c>
      <c r="W1636" s="263">
        <f t="shared" si="1409"/>
        <v>0</v>
      </c>
      <c r="X1636" s="263">
        <f t="shared" si="1409"/>
        <v>0</v>
      </c>
    </row>
    <row r="1637" spans="1:24" s="229" customFormat="1" ht="25.5" hidden="1">
      <c r="A1637" s="239" t="s">
        <v>98</v>
      </c>
      <c r="B1637" s="261" t="s">
        <v>402</v>
      </c>
      <c r="C1637" s="261" t="s">
        <v>13</v>
      </c>
      <c r="D1637" s="261" t="s">
        <v>30</v>
      </c>
      <c r="E1637" s="261" t="s">
        <v>214</v>
      </c>
      <c r="F1637" s="261" t="s">
        <v>70</v>
      </c>
      <c r="G1637" s="261" t="s">
        <v>148</v>
      </c>
      <c r="H1637" s="261" t="s">
        <v>335</v>
      </c>
      <c r="I1637" s="262" t="s">
        <v>95</v>
      </c>
      <c r="J1637" s="263"/>
      <c r="K1637" s="263"/>
      <c r="L1637" s="263"/>
      <c r="M1637" s="263"/>
      <c r="N1637" s="263"/>
      <c r="O1637" s="263"/>
      <c r="P1637" s="263">
        <v>58000</v>
      </c>
      <c r="Q1637" s="263"/>
      <c r="R1637" s="263"/>
      <c r="S1637" s="263"/>
      <c r="T1637" s="263"/>
      <c r="U1637" s="263"/>
      <c r="V1637" s="263">
        <f t="shared" si="1409"/>
        <v>58000</v>
      </c>
      <c r="W1637" s="263">
        <f t="shared" si="1409"/>
        <v>0</v>
      </c>
      <c r="X1637" s="263">
        <f t="shared" si="1409"/>
        <v>0</v>
      </c>
    </row>
    <row r="1638" spans="1:24" s="229" customFormat="1" ht="25.5" hidden="1">
      <c r="A1638" s="268" t="s">
        <v>312</v>
      </c>
      <c r="B1638" s="261" t="s">
        <v>402</v>
      </c>
      <c r="C1638" s="261" t="s">
        <v>13</v>
      </c>
      <c r="D1638" s="261" t="s">
        <v>30</v>
      </c>
      <c r="E1638" s="261" t="s">
        <v>214</v>
      </c>
      <c r="F1638" s="261" t="s">
        <v>70</v>
      </c>
      <c r="G1638" s="261" t="s">
        <v>148</v>
      </c>
      <c r="H1638" s="261" t="s">
        <v>311</v>
      </c>
      <c r="I1638" s="262"/>
      <c r="J1638" s="263"/>
      <c r="K1638" s="263"/>
      <c r="L1638" s="263"/>
      <c r="M1638" s="263"/>
      <c r="N1638" s="263"/>
      <c r="O1638" s="263"/>
      <c r="P1638" s="263">
        <f>P1639</f>
        <v>590000</v>
      </c>
      <c r="Q1638" s="263">
        <f t="shared" ref="Q1638:U1639" si="1412">Q1639</f>
        <v>0</v>
      </c>
      <c r="R1638" s="263">
        <f t="shared" si="1412"/>
        <v>0</v>
      </c>
      <c r="S1638" s="263">
        <f t="shared" si="1412"/>
        <v>0</v>
      </c>
      <c r="T1638" s="263">
        <f t="shared" si="1412"/>
        <v>0</v>
      </c>
      <c r="U1638" s="263">
        <f t="shared" si="1412"/>
        <v>0</v>
      </c>
      <c r="V1638" s="263">
        <f t="shared" si="1409"/>
        <v>590000</v>
      </c>
      <c r="W1638" s="263">
        <f t="shared" si="1409"/>
        <v>0</v>
      </c>
      <c r="X1638" s="263">
        <f t="shared" si="1409"/>
        <v>0</v>
      </c>
    </row>
    <row r="1639" spans="1:24" s="229" customFormat="1" ht="25.5" hidden="1">
      <c r="A1639" s="240" t="s">
        <v>260</v>
      </c>
      <c r="B1639" s="261" t="s">
        <v>402</v>
      </c>
      <c r="C1639" s="261" t="s">
        <v>13</v>
      </c>
      <c r="D1639" s="261" t="s">
        <v>30</v>
      </c>
      <c r="E1639" s="261" t="s">
        <v>214</v>
      </c>
      <c r="F1639" s="261" t="s">
        <v>70</v>
      </c>
      <c r="G1639" s="261" t="s">
        <v>148</v>
      </c>
      <c r="H1639" s="261" t="s">
        <v>311</v>
      </c>
      <c r="I1639" s="262" t="s">
        <v>94</v>
      </c>
      <c r="J1639" s="263"/>
      <c r="K1639" s="263"/>
      <c r="L1639" s="263"/>
      <c r="M1639" s="263"/>
      <c r="N1639" s="263"/>
      <c r="O1639" s="263"/>
      <c r="P1639" s="263">
        <f>P1640</f>
        <v>590000</v>
      </c>
      <c r="Q1639" s="263">
        <f t="shared" si="1412"/>
        <v>0</v>
      </c>
      <c r="R1639" s="263">
        <f t="shared" si="1412"/>
        <v>0</v>
      </c>
      <c r="S1639" s="263">
        <f t="shared" si="1412"/>
        <v>0</v>
      </c>
      <c r="T1639" s="263">
        <f t="shared" si="1412"/>
        <v>0</v>
      </c>
      <c r="U1639" s="263">
        <f t="shared" si="1412"/>
        <v>0</v>
      </c>
      <c r="V1639" s="263">
        <f t="shared" si="1409"/>
        <v>590000</v>
      </c>
      <c r="W1639" s="263">
        <f t="shared" si="1409"/>
        <v>0</v>
      </c>
      <c r="X1639" s="263">
        <f t="shared" si="1409"/>
        <v>0</v>
      </c>
    </row>
    <row r="1640" spans="1:24" s="229" customFormat="1" ht="25.5" hidden="1">
      <c r="A1640" s="239" t="s">
        <v>98</v>
      </c>
      <c r="B1640" s="261" t="s">
        <v>402</v>
      </c>
      <c r="C1640" s="261" t="s">
        <v>13</v>
      </c>
      <c r="D1640" s="261" t="s">
        <v>30</v>
      </c>
      <c r="E1640" s="261" t="s">
        <v>214</v>
      </c>
      <c r="F1640" s="261" t="s">
        <v>70</v>
      </c>
      <c r="G1640" s="261" t="s">
        <v>148</v>
      </c>
      <c r="H1640" s="261" t="s">
        <v>311</v>
      </c>
      <c r="I1640" s="262" t="s">
        <v>95</v>
      </c>
      <c r="J1640" s="263"/>
      <c r="K1640" s="263"/>
      <c r="L1640" s="263"/>
      <c r="M1640" s="263"/>
      <c r="N1640" s="263"/>
      <c r="O1640" s="263"/>
      <c r="P1640" s="263">
        <v>590000</v>
      </c>
      <c r="Q1640" s="263">
        <f t="shared" ref="Q1640:R1640" si="1413">K1640+N1640</f>
        <v>0</v>
      </c>
      <c r="R1640" s="263">
        <f t="shared" si="1413"/>
        <v>0</v>
      </c>
      <c r="S1640" s="263"/>
      <c r="T1640" s="263"/>
      <c r="U1640" s="263"/>
      <c r="V1640" s="263">
        <f t="shared" si="1409"/>
        <v>590000</v>
      </c>
      <c r="W1640" s="263">
        <f t="shared" si="1409"/>
        <v>0</v>
      </c>
      <c r="X1640" s="263">
        <f t="shared" si="1409"/>
        <v>0</v>
      </c>
    </row>
    <row r="1641" spans="1:24" s="229" customFormat="1" ht="15.75" hidden="1">
      <c r="A1641" s="225" t="s">
        <v>15</v>
      </c>
      <c r="B1641" s="266" t="s">
        <v>402</v>
      </c>
      <c r="C1641" s="266" t="s">
        <v>16</v>
      </c>
      <c r="D1641" s="247"/>
      <c r="E1641" s="247"/>
      <c r="F1641" s="247"/>
      <c r="G1641" s="247"/>
      <c r="H1641" s="247"/>
      <c r="I1641" s="248"/>
      <c r="J1641" s="228"/>
      <c r="K1641" s="228"/>
      <c r="L1641" s="228"/>
      <c r="M1641" s="228"/>
      <c r="N1641" s="228"/>
      <c r="O1641" s="228"/>
      <c r="P1641" s="228">
        <f>P1642</f>
        <v>50000</v>
      </c>
      <c r="Q1641" s="228">
        <f t="shared" ref="Q1641:U1645" si="1414">Q1642</f>
        <v>0</v>
      </c>
      <c r="R1641" s="228">
        <f t="shared" si="1414"/>
        <v>0</v>
      </c>
      <c r="S1641" s="228">
        <f t="shared" si="1414"/>
        <v>0</v>
      </c>
      <c r="T1641" s="228">
        <f t="shared" si="1414"/>
        <v>0</v>
      </c>
      <c r="U1641" s="228">
        <f t="shared" si="1414"/>
        <v>0</v>
      </c>
      <c r="V1641" s="228">
        <f t="shared" si="1409"/>
        <v>50000</v>
      </c>
      <c r="W1641" s="228">
        <f t="shared" si="1409"/>
        <v>0</v>
      </c>
      <c r="X1641" s="228">
        <f t="shared" si="1409"/>
        <v>0</v>
      </c>
    </row>
    <row r="1642" spans="1:24" s="229" customFormat="1" hidden="1">
      <c r="A1642" s="230" t="s">
        <v>60</v>
      </c>
      <c r="B1642" s="231" t="s">
        <v>402</v>
      </c>
      <c r="C1642" s="231" t="s">
        <v>16</v>
      </c>
      <c r="D1642" s="231" t="s">
        <v>14</v>
      </c>
      <c r="E1642" s="231"/>
      <c r="F1642" s="231"/>
      <c r="G1642" s="231"/>
      <c r="H1642" s="227"/>
      <c r="I1642" s="237"/>
      <c r="J1642" s="234"/>
      <c r="K1642" s="234"/>
      <c r="L1642" s="234"/>
      <c r="M1642" s="234"/>
      <c r="N1642" s="234"/>
      <c r="O1642" s="234"/>
      <c r="P1642" s="234">
        <f>P1643</f>
        <v>50000</v>
      </c>
      <c r="Q1642" s="234">
        <f t="shared" si="1414"/>
        <v>0</v>
      </c>
      <c r="R1642" s="234">
        <f t="shared" si="1414"/>
        <v>0</v>
      </c>
      <c r="S1642" s="234">
        <f t="shared" si="1414"/>
        <v>0</v>
      </c>
      <c r="T1642" s="234">
        <f t="shared" si="1414"/>
        <v>0</v>
      </c>
      <c r="U1642" s="234">
        <f t="shared" si="1414"/>
        <v>0</v>
      </c>
      <c r="V1642" s="234">
        <f>P1642+S1642</f>
        <v>50000</v>
      </c>
      <c r="W1642" s="234">
        <f>Q1642+T1642</f>
        <v>0</v>
      </c>
      <c r="X1642" s="234">
        <f>R1642+U1642</f>
        <v>0</v>
      </c>
    </row>
    <row r="1643" spans="1:24" s="229" customFormat="1" hidden="1">
      <c r="A1643" s="235" t="s">
        <v>84</v>
      </c>
      <c r="B1643" s="227" t="s">
        <v>402</v>
      </c>
      <c r="C1643" s="227" t="s">
        <v>16</v>
      </c>
      <c r="D1643" s="227" t="s">
        <v>14</v>
      </c>
      <c r="E1643" s="227" t="s">
        <v>82</v>
      </c>
      <c r="F1643" s="227" t="s">
        <v>70</v>
      </c>
      <c r="G1643" s="227" t="s">
        <v>148</v>
      </c>
      <c r="H1643" s="227" t="s">
        <v>149</v>
      </c>
      <c r="I1643" s="237"/>
      <c r="J1643" s="238"/>
      <c r="K1643" s="238"/>
      <c r="L1643" s="238"/>
      <c r="M1643" s="238"/>
      <c r="N1643" s="238"/>
      <c r="O1643" s="238"/>
      <c r="P1643" s="238">
        <f>P1644</f>
        <v>50000</v>
      </c>
      <c r="Q1643" s="238">
        <f t="shared" si="1414"/>
        <v>0</v>
      </c>
      <c r="R1643" s="238">
        <f t="shared" si="1414"/>
        <v>0</v>
      </c>
      <c r="S1643" s="238">
        <f t="shared" si="1414"/>
        <v>0</v>
      </c>
      <c r="T1643" s="238">
        <f t="shared" si="1414"/>
        <v>0</v>
      </c>
      <c r="U1643" s="238">
        <f t="shared" si="1414"/>
        <v>0</v>
      </c>
      <c r="V1643" s="238">
        <f t="shared" ref="V1643:X1658" si="1415">P1643+S1643</f>
        <v>50000</v>
      </c>
      <c r="W1643" s="238">
        <f t="shared" si="1415"/>
        <v>0</v>
      </c>
      <c r="X1643" s="238">
        <f t="shared" si="1415"/>
        <v>0</v>
      </c>
    </row>
    <row r="1644" spans="1:24" s="229" customFormat="1" ht="38.25" hidden="1">
      <c r="A1644" s="235" t="s">
        <v>350</v>
      </c>
      <c r="B1644" s="227" t="s">
        <v>402</v>
      </c>
      <c r="C1644" s="227" t="s">
        <v>16</v>
      </c>
      <c r="D1644" s="227" t="s">
        <v>14</v>
      </c>
      <c r="E1644" s="227" t="s">
        <v>82</v>
      </c>
      <c r="F1644" s="227" t="s">
        <v>70</v>
      </c>
      <c r="G1644" s="227" t="s">
        <v>148</v>
      </c>
      <c r="H1644" s="227" t="s">
        <v>179</v>
      </c>
      <c r="I1644" s="237"/>
      <c r="J1644" s="238"/>
      <c r="K1644" s="238"/>
      <c r="L1644" s="238"/>
      <c r="M1644" s="238"/>
      <c r="N1644" s="238"/>
      <c r="O1644" s="238"/>
      <c r="P1644" s="238">
        <f>P1645</f>
        <v>50000</v>
      </c>
      <c r="Q1644" s="238">
        <f t="shared" si="1414"/>
        <v>0</v>
      </c>
      <c r="R1644" s="238">
        <f t="shared" si="1414"/>
        <v>0</v>
      </c>
      <c r="S1644" s="238">
        <f t="shared" si="1414"/>
        <v>0</v>
      </c>
      <c r="T1644" s="238">
        <f t="shared" si="1414"/>
        <v>0</v>
      </c>
      <c r="U1644" s="238">
        <f t="shared" si="1414"/>
        <v>0</v>
      </c>
      <c r="V1644" s="238">
        <f t="shared" si="1415"/>
        <v>50000</v>
      </c>
      <c r="W1644" s="238">
        <f t="shared" si="1415"/>
        <v>0</v>
      </c>
      <c r="X1644" s="238">
        <f t="shared" si="1415"/>
        <v>0</v>
      </c>
    </row>
    <row r="1645" spans="1:24" s="229" customFormat="1" ht="25.5" hidden="1">
      <c r="A1645" s="240" t="s">
        <v>260</v>
      </c>
      <c r="B1645" s="227" t="s">
        <v>402</v>
      </c>
      <c r="C1645" s="227" t="s">
        <v>16</v>
      </c>
      <c r="D1645" s="227" t="s">
        <v>14</v>
      </c>
      <c r="E1645" s="227" t="s">
        <v>82</v>
      </c>
      <c r="F1645" s="227" t="s">
        <v>70</v>
      </c>
      <c r="G1645" s="227" t="s">
        <v>148</v>
      </c>
      <c r="H1645" s="227" t="s">
        <v>179</v>
      </c>
      <c r="I1645" s="237" t="s">
        <v>94</v>
      </c>
      <c r="J1645" s="238"/>
      <c r="K1645" s="238"/>
      <c r="L1645" s="238"/>
      <c r="M1645" s="238"/>
      <c r="N1645" s="238"/>
      <c r="O1645" s="238"/>
      <c r="P1645" s="238">
        <f>P1646</f>
        <v>50000</v>
      </c>
      <c r="Q1645" s="238">
        <f t="shared" si="1414"/>
        <v>0</v>
      </c>
      <c r="R1645" s="238">
        <f t="shared" si="1414"/>
        <v>0</v>
      </c>
      <c r="S1645" s="238">
        <f t="shared" si="1414"/>
        <v>0</v>
      </c>
      <c r="T1645" s="238">
        <f t="shared" si="1414"/>
        <v>0</v>
      </c>
      <c r="U1645" s="238">
        <f t="shared" si="1414"/>
        <v>0</v>
      </c>
      <c r="V1645" s="238">
        <f t="shared" si="1415"/>
        <v>50000</v>
      </c>
      <c r="W1645" s="238">
        <f t="shared" si="1415"/>
        <v>0</v>
      </c>
      <c r="X1645" s="238">
        <f t="shared" si="1415"/>
        <v>0</v>
      </c>
    </row>
    <row r="1646" spans="1:24" s="229" customFormat="1" ht="25.5" hidden="1">
      <c r="A1646" s="239" t="s">
        <v>98</v>
      </c>
      <c r="B1646" s="227" t="s">
        <v>402</v>
      </c>
      <c r="C1646" s="227" t="s">
        <v>16</v>
      </c>
      <c r="D1646" s="227" t="s">
        <v>14</v>
      </c>
      <c r="E1646" s="227" t="s">
        <v>82</v>
      </c>
      <c r="F1646" s="227" t="s">
        <v>70</v>
      </c>
      <c r="G1646" s="227" t="s">
        <v>148</v>
      </c>
      <c r="H1646" s="227" t="s">
        <v>179</v>
      </c>
      <c r="I1646" s="237" t="s">
        <v>95</v>
      </c>
      <c r="J1646" s="238"/>
      <c r="K1646" s="238"/>
      <c r="L1646" s="238"/>
      <c r="M1646" s="238"/>
      <c r="N1646" s="238"/>
      <c r="O1646" s="238"/>
      <c r="P1646" s="238">
        <v>50000</v>
      </c>
      <c r="Q1646" s="238"/>
      <c r="R1646" s="238"/>
      <c r="S1646" s="238"/>
      <c r="T1646" s="238"/>
      <c r="U1646" s="238"/>
      <c r="V1646" s="238">
        <f t="shared" si="1415"/>
        <v>50000</v>
      </c>
      <c r="W1646" s="238">
        <f t="shared" si="1415"/>
        <v>0</v>
      </c>
      <c r="X1646" s="238">
        <f t="shared" si="1415"/>
        <v>0</v>
      </c>
    </row>
    <row r="1647" spans="1:24" s="229" customFormat="1" ht="15.75" hidden="1">
      <c r="A1647" s="273" t="s">
        <v>46</v>
      </c>
      <c r="B1647" s="274" t="s">
        <v>402</v>
      </c>
      <c r="C1647" s="274" t="s">
        <v>18</v>
      </c>
      <c r="D1647" s="274"/>
      <c r="E1647" s="274"/>
      <c r="F1647" s="274"/>
      <c r="G1647" s="274"/>
      <c r="H1647" s="274"/>
      <c r="I1647" s="275"/>
      <c r="J1647" s="228"/>
      <c r="K1647" s="228"/>
      <c r="L1647" s="228"/>
      <c r="M1647" s="228"/>
      <c r="N1647" s="228"/>
      <c r="O1647" s="228"/>
      <c r="P1647" s="228">
        <f t="shared" ref="P1647:U1647" si="1416">P1648+P1657</f>
        <v>2194565</v>
      </c>
      <c r="Q1647" s="228">
        <f t="shared" si="1416"/>
        <v>247438.08000000002</v>
      </c>
      <c r="R1647" s="228">
        <f t="shared" si="1416"/>
        <v>189318.16</v>
      </c>
      <c r="S1647" s="228">
        <f t="shared" si="1416"/>
        <v>0</v>
      </c>
      <c r="T1647" s="228">
        <f t="shared" si="1416"/>
        <v>0</v>
      </c>
      <c r="U1647" s="228">
        <f t="shared" si="1416"/>
        <v>0</v>
      </c>
      <c r="V1647" s="228">
        <f t="shared" si="1415"/>
        <v>2194565</v>
      </c>
      <c r="W1647" s="228">
        <f t="shared" si="1415"/>
        <v>247438.08000000002</v>
      </c>
      <c r="X1647" s="228">
        <f t="shared" si="1415"/>
        <v>189318.16</v>
      </c>
    </row>
    <row r="1648" spans="1:24" s="229" customFormat="1" hidden="1">
      <c r="A1648" s="278" t="s">
        <v>47</v>
      </c>
      <c r="B1648" s="232" t="s">
        <v>402</v>
      </c>
      <c r="C1648" s="232" t="s">
        <v>18</v>
      </c>
      <c r="D1648" s="232" t="s">
        <v>17</v>
      </c>
      <c r="E1648" s="232"/>
      <c r="F1648" s="232"/>
      <c r="G1648" s="232"/>
      <c r="H1648" s="232"/>
      <c r="I1648" s="233"/>
      <c r="J1648" s="234"/>
      <c r="K1648" s="234"/>
      <c r="L1648" s="234"/>
      <c r="M1648" s="234"/>
      <c r="N1648" s="234"/>
      <c r="O1648" s="234"/>
      <c r="P1648" s="234">
        <f>P1649+P1653</f>
        <v>1530189</v>
      </c>
      <c r="Q1648" s="234">
        <f t="shared" ref="Q1648:U1648" si="1417">Q1649+Q1653</f>
        <v>30236.560000000001</v>
      </c>
      <c r="R1648" s="234">
        <f t="shared" si="1417"/>
        <v>30286.02</v>
      </c>
      <c r="S1648" s="234">
        <f t="shared" si="1417"/>
        <v>0</v>
      </c>
      <c r="T1648" s="234">
        <f t="shared" si="1417"/>
        <v>0</v>
      </c>
      <c r="U1648" s="234">
        <f t="shared" si="1417"/>
        <v>0</v>
      </c>
      <c r="V1648" s="234">
        <f t="shared" si="1415"/>
        <v>1530189</v>
      </c>
      <c r="W1648" s="234">
        <f t="shared" si="1415"/>
        <v>30236.560000000001</v>
      </c>
      <c r="X1648" s="234">
        <f t="shared" si="1415"/>
        <v>30286.02</v>
      </c>
    </row>
    <row r="1649" spans="1:24" s="229" customFormat="1" ht="38.25" hidden="1">
      <c r="A1649" s="298" t="s">
        <v>286</v>
      </c>
      <c r="B1649" s="236" t="s">
        <v>402</v>
      </c>
      <c r="C1649" s="236" t="s">
        <v>18</v>
      </c>
      <c r="D1649" s="236" t="s">
        <v>17</v>
      </c>
      <c r="E1649" s="236" t="s">
        <v>3</v>
      </c>
      <c r="F1649" s="236" t="s">
        <v>70</v>
      </c>
      <c r="G1649" s="236" t="s">
        <v>148</v>
      </c>
      <c r="H1649" s="236" t="s">
        <v>149</v>
      </c>
      <c r="I1649" s="277"/>
      <c r="J1649" s="238"/>
      <c r="K1649" s="238"/>
      <c r="L1649" s="238"/>
      <c r="M1649" s="238"/>
      <c r="N1649" s="238"/>
      <c r="O1649" s="238"/>
      <c r="P1649" s="238">
        <f>P1650</f>
        <v>1500000</v>
      </c>
      <c r="Q1649" s="238">
        <f t="shared" ref="Q1649:U1651" si="1418">Q1650</f>
        <v>0</v>
      </c>
      <c r="R1649" s="238">
        <f t="shared" si="1418"/>
        <v>0</v>
      </c>
      <c r="S1649" s="238">
        <f t="shared" si="1418"/>
        <v>0</v>
      </c>
      <c r="T1649" s="238">
        <f t="shared" si="1418"/>
        <v>0</v>
      </c>
      <c r="U1649" s="238">
        <f t="shared" si="1418"/>
        <v>0</v>
      </c>
      <c r="V1649" s="238">
        <f t="shared" si="1415"/>
        <v>1500000</v>
      </c>
      <c r="W1649" s="238">
        <f t="shared" si="1415"/>
        <v>0</v>
      </c>
      <c r="X1649" s="238">
        <f t="shared" si="1415"/>
        <v>0</v>
      </c>
    </row>
    <row r="1650" spans="1:24" s="229" customFormat="1" ht="25.5" hidden="1">
      <c r="A1650" s="268" t="s">
        <v>312</v>
      </c>
      <c r="B1650" s="236" t="s">
        <v>402</v>
      </c>
      <c r="C1650" s="236" t="s">
        <v>18</v>
      </c>
      <c r="D1650" s="236" t="s">
        <v>17</v>
      </c>
      <c r="E1650" s="236" t="s">
        <v>3</v>
      </c>
      <c r="F1650" s="236" t="s">
        <v>70</v>
      </c>
      <c r="G1650" s="236" t="s">
        <v>148</v>
      </c>
      <c r="H1650" s="236" t="s">
        <v>311</v>
      </c>
      <c r="I1650" s="277"/>
      <c r="J1650" s="238"/>
      <c r="K1650" s="238"/>
      <c r="L1650" s="238"/>
      <c r="M1650" s="238"/>
      <c r="N1650" s="238"/>
      <c r="O1650" s="238"/>
      <c r="P1650" s="238">
        <f>P1651</f>
        <v>1500000</v>
      </c>
      <c r="Q1650" s="238">
        <f t="shared" si="1418"/>
        <v>0</v>
      </c>
      <c r="R1650" s="238">
        <f t="shared" si="1418"/>
        <v>0</v>
      </c>
      <c r="S1650" s="238">
        <f t="shared" si="1418"/>
        <v>0</v>
      </c>
      <c r="T1650" s="238">
        <f t="shared" si="1418"/>
        <v>0</v>
      </c>
      <c r="U1650" s="238">
        <f t="shared" si="1418"/>
        <v>0</v>
      </c>
      <c r="V1650" s="238">
        <f t="shared" si="1415"/>
        <v>1500000</v>
      </c>
      <c r="W1650" s="238">
        <f t="shared" si="1415"/>
        <v>0</v>
      </c>
      <c r="X1650" s="238">
        <f t="shared" si="1415"/>
        <v>0</v>
      </c>
    </row>
    <row r="1651" spans="1:24" s="229" customFormat="1" ht="25.5" hidden="1">
      <c r="A1651" s="240" t="s">
        <v>260</v>
      </c>
      <c r="B1651" s="236" t="s">
        <v>402</v>
      </c>
      <c r="C1651" s="236" t="s">
        <v>18</v>
      </c>
      <c r="D1651" s="236" t="s">
        <v>17</v>
      </c>
      <c r="E1651" s="236" t="s">
        <v>3</v>
      </c>
      <c r="F1651" s="236" t="s">
        <v>70</v>
      </c>
      <c r="G1651" s="236" t="s">
        <v>148</v>
      </c>
      <c r="H1651" s="236" t="s">
        <v>311</v>
      </c>
      <c r="I1651" s="277" t="s">
        <v>94</v>
      </c>
      <c r="J1651" s="238"/>
      <c r="K1651" s="238"/>
      <c r="L1651" s="238"/>
      <c r="M1651" s="238"/>
      <c r="N1651" s="238"/>
      <c r="O1651" s="238"/>
      <c r="P1651" s="238">
        <f>P1652</f>
        <v>1500000</v>
      </c>
      <c r="Q1651" s="238">
        <f t="shared" si="1418"/>
        <v>0</v>
      </c>
      <c r="R1651" s="238">
        <f t="shared" si="1418"/>
        <v>0</v>
      </c>
      <c r="S1651" s="238">
        <f t="shared" si="1418"/>
        <v>0</v>
      </c>
      <c r="T1651" s="238">
        <f t="shared" si="1418"/>
        <v>0</v>
      </c>
      <c r="U1651" s="238">
        <f t="shared" si="1418"/>
        <v>0</v>
      </c>
      <c r="V1651" s="238">
        <f t="shared" si="1415"/>
        <v>1500000</v>
      </c>
      <c r="W1651" s="238">
        <f t="shared" si="1415"/>
        <v>0</v>
      </c>
      <c r="X1651" s="238">
        <f t="shared" si="1415"/>
        <v>0</v>
      </c>
    </row>
    <row r="1652" spans="1:24" s="229" customFormat="1" ht="25.5" hidden="1">
      <c r="A1652" s="239" t="s">
        <v>98</v>
      </c>
      <c r="B1652" s="236" t="s">
        <v>402</v>
      </c>
      <c r="C1652" s="236" t="s">
        <v>18</v>
      </c>
      <c r="D1652" s="236" t="s">
        <v>17</v>
      </c>
      <c r="E1652" s="236" t="s">
        <v>3</v>
      </c>
      <c r="F1652" s="236" t="s">
        <v>70</v>
      </c>
      <c r="G1652" s="236" t="s">
        <v>148</v>
      </c>
      <c r="H1652" s="236" t="s">
        <v>311</v>
      </c>
      <c r="I1652" s="277" t="s">
        <v>95</v>
      </c>
      <c r="J1652" s="238"/>
      <c r="K1652" s="238"/>
      <c r="L1652" s="238"/>
      <c r="M1652" s="238"/>
      <c r="N1652" s="238"/>
      <c r="O1652" s="238"/>
      <c r="P1652" s="238">
        <v>1500000</v>
      </c>
      <c r="Q1652" s="238">
        <f t="shared" ref="Q1652:R1652" si="1419">K1652+N1652</f>
        <v>0</v>
      </c>
      <c r="R1652" s="238">
        <f t="shared" si="1419"/>
        <v>0</v>
      </c>
      <c r="S1652" s="238"/>
      <c r="T1652" s="238"/>
      <c r="U1652" s="238"/>
      <c r="V1652" s="238">
        <f t="shared" si="1415"/>
        <v>1500000</v>
      </c>
      <c r="W1652" s="238">
        <f t="shared" si="1415"/>
        <v>0</v>
      </c>
      <c r="X1652" s="238">
        <f t="shared" si="1415"/>
        <v>0</v>
      </c>
    </row>
    <row r="1653" spans="1:24" s="229" customFormat="1" hidden="1">
      <c r="A1653" s="235" t="s">
        <v>83</v>
      </c>
      <c r="B1653" s="227" t="s">
        <v>402</v>
      </c>
      <c r="C1653" s="227" t="s">
        <v>18</v>
      </c>
      <c r="D1653" s="227" t="s">
        <v>17</v>
      </c>
      <c r="E1653" s="227" t="s">
        <v>82</v>
      </c>
      <c r="F1653" s="227" t="s">
        <v>70</v>
      </c>
      <c r="G1653" s="227" t="s">
        <v>148</v>
      </c>
      <c r="H1653" s="227" t="s">
        <v>149</v>
      </c>
      <c r="I1653" s="237"/>
      <c r="J1653" s="238"/>
      <c r="K1653" s="238"/>
      <c r="L1653" s="238"/>
      <c r="M1653" s="238"/>
      <c r="N1653" s="238"/>
      <c r="O1653" s="238"/>
      <c r="P1653" s="238">
        <f>P1654</f>
        <v>30189</v>
      </c>
      <c r="Q1653" s="238">
        <f t="shared" ref="Q1653:U1655" si="1420">Q1654</f>
        <v>30236.560000000001</v>
      </c>
      <c r="R1653" s="238">
        <f t="shared" si="1420"/>
        <v>30286.02</v>
      </c>
      <c r="S1653" s="238">
        <f t="shared" si="1420"/>
        <v>0</v>
      </c>
      <c r="T1653" s="238">
        <f t="shared" si="1420"/>
        <v>0</v>
      </c>
      <c r="U1653" s="238">
        <f t="shared" si="1420"/>
        <v>0</v>
      </c>
      <c r="V1653" s="238">
        <f t="shared" si="1415"/>
        <v>30189</v>
      </c>
      <c r="W1653" s="238">
        <f t="shared" si="1415"/>
        <v>30236.560000000001</v>
      </c>
      <c r="X1653" s="238">
        <f t="shared" si="1415"/>
        <v>30286.02</v>
      </c>
    </row>
    <row r="1654" spans="1:24" s="229" customFormat="1" hidden="1">
      <c r="A1654" s="268" t="s">
        <v>359</v>
      </c>
      <c r="B1654" s="227" t="s">
        <v>402</v>
      </c>
      <c r="C1654" s="227" t="s">
        <v>18</v>
      </c>
      <c r="D1654" s="227" t="s">
        <v>17</v>
      </c>
      <c r="E1654" s="227" t="s">
        <v>82</v>
      </c>
      <c r="F1654" s="227" t="s">
        <v>70</v>
      </c>
      <c r="G1654" s="227" t="s">
        <v>148</v>
      </c>
      <c r="H1654" s="227" t="s">
        <v>358</v>
      </c>
      <c r="I1654" s="237"/>
      <c r="J1654" s="238"/>
      <c r="K1654" s="238"/>
      <c r="L1654" s="238"/>
      <c r="M1654" s="238"/>
      <c r="N1654" s="238"/>
      <c r="O1654" s="238"/>
      <c r="P1654" s="238">
        <f>P1655</f>
        <v>30189</v>
      </c>
      <c r="Q1654" s="238">
        <f t="shared" si="1420"/>
        <v>30236.560000000001</v>
      </c>
      <c r="R1654" s="238">
        <f t="shared" si="1420"/>
        <v>30286.02</v>
      </c>
      <c r="S1654" s="238">
        <f t="shared" si="1420"/>
        <v>0</v>
      </c>
      <c r="T1654" s="238">
        <f t="shared" si="1420"/>
        <v>0</v>
      </c>
      <c r="U1654" s="238">
        <f t="shared" si="1420"/>
        <v>0</v>
      </c>
      <c r="V1654" s="238">
        <f t="shared" si="1415"/>
        <v>30189</v>
      </c>
      <c r="W1654" s="238">
        <f t="shared" si="1415"/>
        <v>30236.560000000001</v>
      </c>
      <c r="X1654" s="238">
        <f t="shared" si="1415"/>
        <v>30286.02</v>
      </c>
    </row>
    <row r="1655" spans="1:24" s="229" customFormat="1" ht="25.5" hidden="1">
      <c r="A1655" s="240" t="s">
        <v>260</v>
      </c>
      <c r="B1655" s="227" t="s">
        <v>402</v>
      </c>
      <c r="C1655" s="227" t="s">
        <v>18</v>
      </c>
      <c r="D1655" s="227" t="s">
        <v>17</v>
      </c>
      <c r="E1655" s="227" t="s">
        <v>82</v>
      </c>
      <c r="F1655" s="227" t="s">
        <v>70</v>
      </c>
      <c r="G1655" s="227" t="s">
        <v>148</v>
      </c>
      <c r="H1655" s="227" t="s">
        <v>358</v>
      </c>
      <c r="I1655" s="237" t="s">
        <v>94</v>
      </c>
      <c r="J1655" s="238"/>
      <c r="K1655" s="238"/>
      <c r="L1655" s="238"/>
      <c r="M1655" s="238"/>
      <c r="N1655" s="238"/>
      <c r="O1655" s="238"/>
      <c r="P1655" s="238">
        <f>P1656</f>
        <v>30189</v>
      </c>
      <c r="Q1655" s="238">
        <f t="shared" si="1420"/>
        <v>30236.560000000001</v>
      </c>
      <c r="R1655" s="238">
        <f t="shared" si="1420"/>
        <v>30286.02</v>
      </c>
      <c r="S1655" s="238">
        <f t="shared" si="1420"/>
        <v>0</v>
      </c>
      <c r="T1655" s="238">
        <f t="shared" si="1420"/>
        <v>0</v>
      </c>
      <c r="U1655" s="238">
        <f t="shared" si="1420"/>
        <v>0</v>
      </c>
      <c r="V1655" s="238">
        <f t="shared" si="1415"/>
        <v>30189</v>
      </c>
      <c r="W1655" s="238">
        <f t="shared" si="1415"/>
        <v>30236.560000000001</v>
      </c>
      <c r="X1655" s="238">
        <f t="shared" si="1415"/>
        <v>30286.02</v>
      </c>
    </row>
    <row r="1656" spans="1:24" s="229" customFormat="1" ht="25.5" hidden="1">
      <c r="A1656" s="239" t="s">
        <v>98</v>
      </c>
      <c r="B1656" s="227" t="s">
        <v>402</v>
      </c>
      <c r="C1656" s="227" t="s">
        <v>18</v>
      </c>
      <c r="D1656" s="227" t="s">
        <v>17</v>
      </c>
      <c r="E1656" s="227" t="s">
        <v>82</v>
      </c>
      <c r="F1656" s="227" t="s">
        <v>70</v>
      </c>
      <c r="G1656" s="227" t="s">
        <v>148</v>
      </c>
      <c r="H1656" s="227" t="s">
        <v>358</v>
      </c>
      <c r="I1656" s="237" t="s">
        <v>95</v>
      </c>
      <c r="J1656" s="238"/>
      <c r="K1656" s="238"/>
      <c r="L1656" s="238"/>
      <c r="M1656" s="238"/>
      <c r="N1656" s="238"/>
      <c r="O1656" s="238"/>
      <c r="P1656" s="238">
        <f>29000+1189</f>
        <v>30189</v>
      </c>
      <c r="Q1656" s="238">
        <f>28976.22+1260.34</f>
        <v>30236.560000000001</v>
      </c>
      <c r="R1656" s="238">
        <f>28962.66+1323.36</f>
        <v>30286.02</v>
      </c>
      <c r="S1656" s="238"/>
      <c r="T1656" s="238"/>
      <c r="U1656" s="238"/>
      <c r="V1656" s="238">
        <f t="shared" si="1415"/>
        <v>30189</v>
      </c>
      <c r="W1656" s="238">
        <f t="shared" si="1415"/>
        <v>30236.560000000001</v>
      </c>
      <c r="X1656" s="238">
        <f t="shared" si="1415"/>
        <v>30286.02</v>
      </c>
    </row>
    <row r="1657" spans="1:24" s="255" customFormat="1" hidden="1">
      <c r="A1657" s="278" t="s">
        <v>68</v>
      </c>
      <c r="B1657" s="231" t="s">
        <v>402</v>
      </c>
      <c r="C1657" s="231" t="s">
        <v>18</v>
      </c>
      <c r="D1657" s="231" t="s">
        <v>13</v>
      </c>
      <c r="E1657" s="231"/>
      <c r="F1657" s="231"/>
      <c r="G1657" s="231"/>
      <c r="H1657" s="231"/>
      <c r="I1657" s="242"/>
      <c r="J1657" s="234"/>
      <c r="K1657" s="234"/>
      <c r="L1657" s="234"/>
      <c r="M1657" s="234"/>
      <c r="N1657" s="234"/>
      <c r="O1657" s="234"/>
      <c r="P1657" s="234">
        <f>P1658+P1662</f>
        <v>664376</v>
      </c>
      <c r="Q1657" s="234">
        <f t="shared" ref="Q1657:U1657" si="1421">Q1658+Q1662</f>
        <v>217201.52000000002</v>
      </c>
      <c r="R1657" s="234">
        <f t="shared" si="1421"/>
        <v>159032.14000000001</v>
      </c>
      <c r="S1657" s="234">
        <f t="shared" si="1421"/>
        <v>0</v>
      </c>
      <c r="T1657" s="234">
        <f t="shared" si="1421"/>
        <v>0</v>
      </c>
      <c r="U1657" s="234">
        <f t="shared" si="1421"/>
        <v>0</v>
      </c>
      <c r="V1657" s="234">
        <f t="shared" si="1415"/>
        <v>664376</v>
      </c>
      <c r="W1657" s="234">
        <f t="shared" si="1415"/>
        <v>217201.52000000002</v>
      </c>
      <c r="X1657" s="234">
        <f t="shared" si="1415"/>
        <v>159032.14000000001</v>
      </c>
    </row>
    <row r="1658" spans="1:24" s="229" customFormat="1" ht="38.25" hidden="1">
      <c r="A1658" s="301" t="s">
        <v>286</v>
      </c>
      <c r="B1658" s="227" t="s">
        <v>402</v>
      </c>
      <c r="C1658" s="227" t="s">
        <v>18</v>
      </c>
      <c r="D1658" s="227" t="s">
        <v>13</v>
      </c>
      <c r="E1658" s="227" t="s">
        <v>3</v>
      </c>
      <c r="F1658" s="227" t="s">
        <v>70</v>
      </c>
      <c r="G1658" s="227" t="s">
        <v>148</v>
      </c>
      <c r="H1658" s="227" t="s">
        <v>149</v>
      </c>
      <c r="I1658" s="237"/>
      <c r="J1658" s="238"/>
      <c r="K1658" s="238"/>
      <c r="L1658" s="238"/>
      <c r="M1658" s="238"/>
      <c r="N1658" s="238"/>
      <c r="O1658" s="238"/>
      <c r="P1658" s="238">
        <f>P1659</f>
        <v>450000</v>
      </c>
      <c r="Q1658" s="238">
        <f t="shared" ref="Q1658:U1660" si="1422">Q1659</f>
        <v>0</v>
      </c>
      <c r="R1658" s="238">
        <f t="shared" si="1422"/>
        <v>0</v>
      </c>
      <c r="S1658" s="238">
        <f t="shared" si="1422"/>
        <v>0</v>
      </c>
      <c r="T1658" s="238">
        <f t="shared" si="1422"/>
        <v>0</v>
      </c>
      <c r="U1658" s="238">
        <f t="shared" si="1422"/>
        <v>0</v>
      </c>
      <c r="V1658" s="238">
        <f t="shared" si="1415"/>
        <v>450000</v>
      </c>
      <c r="W1658" s="238">
        <f t="shared" si="1415"/>
        <v>0</v>
      </c>
      <c r="X1658" s="238">
        <f t="shared" si="1415"/>
        <v>0</v>
      </c>
    </row>
    <row r="1659" spans="1:24" s="229" customFormat="1" ht="25.5" hidden="1">
      <c r="A1659" s="268" t="s">
        <v>312</v>
      </c>
      <c r="B1659" s="227" t="s">
        <v>402</v>
      </c>
      <c r="C1659" s="227" t="s">
        <v>18</v>
      </c>
      <c r="D1659" s="227" t="s">
        <v>13</v>
      </c>
      <c r="E1659" s="227" t="s">
        <v>3</v>
      </c>
      <c r="F1659" s="227" t="s">
        <v>70</v>
      </c>
      <c r="G1659" s="227" t="s">
        <v>148</v>
      </c>
      <c r="H1659" s="227" t="s">
        <v>311</v>
      </c>
      <c r="I1659" s="237"/>
      <c r="J1659" s="238"/>
      <c r="K1659" s="238"/>
      <c r="L1659" s="238"/>
      <c r="M1659" s="238"/>
      <c r="N1659" s="238"/>
      <c r="O1659" s="238"/>
      <c r="P1659" s="238">
        <f>P1660</f>
        <v>450000</v>
      </c>
      <c r="Q1659" s="238">
        <f t="shared" si="1422"/>
        <v>0</v>
      </c>
      <c r="R1659" s="238">
        <f t="shared" si="1422"/>
        <v>0</v>
      </c>
      <c r="S1659" s="238">
        <f t="shared" si="1422"/>
        <v>0</v>
      </c>
      <c r="T1659" s="238">
        <f t="shared" si="1422"/>
        <v>0</v>
      </c>
      <c r="U1659" s="238">
        <f t="shared" si="1422"/>
        <v>0</v>
      </c>
      <c r="V1659" s="238">
        <f t="shared" ref="V1659:X1668" si="1423">P1659+S1659</f>
        <v>450000</v>
      </c>
      <c r="W1659" s="238">
        <f t="shared" si="1423"/>
        <v>0</v>
      </c>
      <c r="X1659" s="238">
        <f t="shared" si="1423"/>
        <v>0</v>
      </c>
    </row>
    <row r="1660" spans="1:24" s="229" customFormat="1" ht="25.5" hidden="1">
      <c r="A1660" s="240" t="s">
        <v>260</v>
      </c>
      <c r="B1660" s="227" t="s">
        <v>402</v>
      </c>
      <c r="C1660" s="227" t="s">
        <v>18</v>
      </c>
      <c r="D1660" s="227" t="s">
        <v>13</v>
      </c>
      <c r="E1660" s="227" t="s">
        <v>3</v>
      </c>
      <c r="F1660" s="227" t="s">
        <v>70</v>
      </c>
      <c r="G1660" s="227" t="s">
        <v>148</v>
      </c>
      <c r="H1660" s="227" t="s">
        <v>311</v>
      </c>
      <c r="I1660" s="237" t="s">
        <v>94</v>
      </c>
      <c r="J1660" s="238"/>
      <c r="K1660" s="238"/>
      <c r="L1660" s="238"/>
      <c r="M1660" s="238"/>
      <c r="N1660" s="238"/>
      <c r="O1660" s="238"/>
      <c r="P1660" s="238">
        <f>P1661</f>
        <v>450000</v>
      </c>
      <c r="Q1660" s="238">
        <f t="shared" si="1422"/>
        <v>0</v>
      </c>
      <c r="R1660" s="238">
        <f t="shared" si="1422"/>
        <v>0</v>
      </c>
      <c r="S1660" s="238">
        <f t="shared" si="1422"/>
        <v>0</v>
      </c>
      <c r="T1660" s="238">
        <f t="shared" si="1422"/>
        <v>0</v>
      </c>
      <c r="U1660" s="238">
        <f t="shared" si="1422"/>
        <v>0</v>
      </c>
      <c r="V1660" s="238">
        <f t="shared" si="1423"/>
        <v>450000</v>
      </c>
      <c r="W1660" s="238">
        <f t="shared" si="1423"/>
        <v>0</v>
      </c>
      <c r="X1660" s="238">
        <f t="shared" si="1423"/>
        <v>0</v>
      </c>
    </row>
    <row r="1661" spans="1:24" s="229" customFormat="1" ht="25.5" hidden="1">
      <c r="A1661" s="239" t="s">
        <v>98</v>
      </c>
      <c r="B1661" s="227" t="s">
        <v>402</v>
      </c>
      <c r="C1661" s="227" t="s">
        <v>18</v>
      </c>
      <c r="D1661" s="227" t="s">
        <v>13</v>
      </c>
      <c r="E1661" s="227" t="s">
        <v>3</v>
      </c>
      <c r="F1661" s="227" t="s">
        <v>70</v>
      </c>
      <c r="G1661" s="227" t="s">
        <v>148</v>
      </c>
      <c r="H1661" s="227" t="s">
        <v>311</v>
      </c>
      <c r="I1661" s="237" t="s">
        <v>95</v>
      </c>
      <c r="J1661" s="238"/>
      <c r="K1661" s="238"/>
      <c r="L1661" s="238"/>
      <c r="M1661" s="238"/>
      <c r="N1661" s="238"/>
      <c r="O1661" s="238"/>
      <c r="P1661" s="238">
        <v>450000</v>
      </c>
      <c r="Q1661" s="238">
        <f t="shared" ref="Q1661:R1661" si="1424">K1661+N1661</f>
        <v>0</v>
      </c>
      <c r="R1661" s="238">
        <f t="shared" si="1424"/>
        <v>0</v>
      </c>
      <c r="S1661" s="238"/>
      <c r="T1661" s="238"/>
      <c r="U1661" s="238"/>
      <c r="V1661" s="238">
        <f t="shared" si="1423"/>
        <v>450000</v>
      </c>
      <c r="W1661" s="238">
        <f t="shared" si="1423"/>
        <v>0</v>
      </c>
      <c r="X1661" s="238">
        <f t="shared" si="1423"/>
        <v>0</v>
      </c>
    </row>
    <row r="1662" spans="1:24" s="229" customFormat="1" hidden="1">
      <c r="A1662" s="235" t="s">
        <v>83</v>
      </c>
      <c r="B1662" s="227" t="s">
        <v>402</v>
      </c>
      <c r="C1662" s="227" t="s">
        <v>18</v>
      </c>
      <c r="D1662" s="227" t="s">
        <v>13</v>
      </c>
      <c r="E1662" s="227" t="s">
        <v>82</v>
      </c>
      <c r="F1662" s="227" t="s">
        <v>70</v>
      </c>
      <c r="G1662" s="227" t="s">
        <v>148</v>
      </c>
      <c r="H1662" s="227" t="s">
        <v>149</v>
      </c>
      <c r="I1662" s="237"/>
      <c r="J1662" s="238"/>
      <c r="K1662" s="238"/>
      <c r="L1662" s="238"/>
      <c r="M1662" s="238"/>
      <c r="N1662" s="238"/>
      <c r="O1662" s="238"/>
      <c r="P1662" s="238">
        <f>P1663+P1666</f>
        <v>214376</v>
      </c>
      <c r="Q1662" s="238">
        <f t="shared" ref="Q1662:U1662" si="1425">Q1663+Q1666</f>
        <v>217201.52000000002</v>
      </c>
      <c r="R1662" s="238">
        <f t="shared" si="1425"/>
        <v>159032.14000000001</v>
      </c>
      <c r="S1662" s="238">
        <f t="shared" si="1425"/>
        <v>0</v>
      </c>
      <c r="T1662" s="238">
        <f t="shared" si="1425"/>
        <v>0</v>
      </c>
      <c r="U1662" s="238">
        <f t="shared" si="1425"/>
        <v>0</v>
      </c>
      <c r="V1662" s="238">
        <f t="shared" si="1423"/>
        <v>214376</v>
      </c>
      <c r="W1662" s="238">
        <f t="shared" si="1423"/>
        <v>217201.52000000002</v>
      </c>
      <c r="X1662" s="238">
        <f t="shared" si="1423"/>
        <v>159032.14000000001</v>
      </c>
    </row>
    <row r="1663" spans="1:24" s="229" customFormat="1" ht="14.25" hidden="1">
      <c r="A1663" s="283" t="s">
        <v>362</v>
      </c>
      <c r="B1663" s="227" t="s">
        <v>402</v>
      </c>
      <c r="C1663" s="227" t="s">
        <v>18</v>
      </c>
      <c r="D1663" s="227" t="s">
        <v>13</v>
      </c>
      <c r="E1663" s="227" t="s">
        <v>82</v>
      </c>
      <c r="F1663" s="227" t="s">
        <v>70</v>
      </c>
      <c r="G1663" s="227" t="s">
        <v>148</v>
      </c>
      <c r="H1663" s="227" t="s">
        <v>361</v>
      </c>
      <c r="I1663" s="237"/>
      <c r="J1663" s="238"/>
      <c r="K1663" s="238"/>
      <c r="L1663" s="238"/>
      <c r="M1663" s="238"/>
      <c r="N1663" s="238"/>
      <c r="O1663" s="238"/>
      <c r="P1663" s="238">
        <f>P1664</f>
        <v>14994</v>
      </c>
      <c r="Q1663" s="238">
        <f t="shared" ref="Q1663:U1664" si="1426">Q1664</f>
        <v>14994</v>
      </c>
      <c r="R1663" s="238">
        <f t="shared" si="1426"/>
        <v>14994</v>
      </c>
      <c r="S1663" s="238">
        <f t="shared" si="1426"/>
        <v>0</v>
      </c>
      <c r="T1663" s="238">
        <f t="shared" si="1426"/>
        <v>0</v>
      </c>
      <c r="U1663" s="238">
        <f t="shared" si="1426"/>
        <v>0</v>
      </c>
      <c r="V1663" s="238">
        <f t="shared" si="1423"/>
        <v>14994</v>
      </c>
      <c r="W1663" s="238">
        <f t="shared" si="1423"/>
        <v>14994</v>
      </c>
      <c r="X1663" s="238">
        <f t="shared" si="1423"/>
        <v>14994</v>
      </c>
    </row>
    <row r="1664" spans="1:24" s="229" customFormat="1" ht="25.5" hidden="1">
      <c r="A1664" s="240" t="s">
        <v>260</v>
      </c>
      <c r="B1664" s="227" t="s">
        <v>402</v>
      </c>
      <c r="C1664" s="227" t="s">
        <v>18</v>
      </c>
      <c r="D1664" s="227" t="s">
        <v>13</v>
      </c>
      <c r="E1664" s="227" t="s">
        <v>82</v>
      </c>
      <c r="F1664" s="227" t="s">
        <v>70</v>
      </c>
      <c r="G1664" s="227" t="s">
        <v>148</v>
      </c>
      <c r="H1664" s="227" t="s">
        <v>361</v>
      </c>
      <c r="I1664" s="237" t="s">
        <v>94</v>
      </c>
      <c r="J1664" s="238"/>
      <c r="K1664" s="238"/>
      <c r="L1664" s="238"/>
      <c r="M1664" s="238"/>
      <c r="N1664" s="238"/>
      <c r="O1664" s="238"/>
      <c r="P1664" s="238">
        <f>P1665</f>
        <v>14994</v>
      </c>
      <c r="Q1664" s="238">
        <f t="shared" si="1426"/>
        <v>14994</v>
      </c>
      <c r="R1664" s="238">
        <f t="shared" si="1426"/>
        <v>14994</v>
      </c>
      <c r="S1664" s="238">
        <f t="shared" si="1426"/>
        <v>0</v>
      </c>
      <c r="T1664" s="238">
        <f t="shared" si="1426"/>
        <v>0</v>
      </c>
      <c r="U1664" s="238">
        <f t="shared" si="1426"/>
        <v>0</v>
      </c>
      <c r="V1664" s="238">
        <f t="shared" si="1423"/>
        <v>14994</v>
      </c>
      <c r="W1664" s="238">
        <f t="shared" si="1423"/>
        <v>14994</v>
      </c>
      <c r="X1664" s="238">
        <f t="shared" si="1423"/>
        <v>14994</v>
      </c>
    </row>
    <row r="1665" spans="1:24" s="229" customFormat="1" ht="25.5" hidden="1">
      <c r="A1665" s="239" t="s">
        <v>98</v>
      </c>
      <c r="B1665" s="227" t="s">
        <v>402</v>
      </c>
      <c r="C1665" s="227" t="s">
        <v>18</v>
      </c>
      <c r="D1665" s="227" t="s">
        <v>13</v>
      </c>
      <c r="E1665" s="227" t="s">
        <v>82</v>
      </c>
      <c r="F1665" s="227" t="s">
        <v>70</v>
      </c>
      <c r="G1665" s="227" t="s">
        <v>148</v>
      </c>
      <c r="H1665" s="227" t="s">
        <v>361</v>
      </c>
      <c r="I1665" s="237" t="s">
        <v>95</v>
      </c>
      <c r="J1665" s="238"/>
      <c r="K1665" s="238"/>
      <c r="L1665" s="238"/>
      <c r="M1665" s="238"/>
      <c r="N1665" s="238"/>
      <c r="O1665" s="238"/>
      <c r="P1665" s="238">
        <v>14994</v>
      </c>
      <c r="Q1665" s="238">
        <v>14994</v>
      </c>
      <c r="R1665" s="238">
        <v>14994</v>
      </c>
      <c r="S1665" s="238"/>
      <c r="T1665" s="238"/>
      <c r="U1665" s="238"/>
      <c r="V1665" s="238">
        <f t="shared" si="1423"/>
        <v>14994</v>
      </c>
      <c r="W1665" s="238">
        <f t="shared" si="1423"/>
        <v>14994</v>
      </c>
      <c r="X1665" s="238">
        <f t="shared" si="1423"/>
        <v>14994</v>
      </c>
    </row>
    <row r="1666" spans="1:24" s="229" customFormat="1" hidden="1">
      <c r="A1666" s="239" t="s">
        <v>367</v>
      </c>
      <c r="B1666" s="227" t="s">
        <v>402</v>
      </c>
      <c r="C1666" s="227" t="s">
        <v>18</v>
      </c>
      <c r="D1666" s="227" t="s">
        <v>13</v>
      </c>
      <c r="E1666" s="227" t="s">
        <v>82</v>
      </c>
      <c r="F1666" s="227" t="s">
        <v>70</v>
      </c>
      <c r="G1666" s="227" t="s">
        <v>148</v>
      </c>
      <c r="H1666" s="227" t="s">
        <v>360</v>
      </c>
      <c r="I1666" s="237"/>
      <c r="J1666" s="238"/>
      <c r="K1666" s="238"/>
      <c r="L1666" s="238"/>
      <c r="M1666" s="238"/>
      <c r="N1666" s="238"/>
      <c r="O1666" s="238"/>
      <c r="P1666" s="238">
        <f>P1667</f>
        <v>199382</v>
      </c>
      <c r="Q1666" s="238">
        <f t="shared" ref="Q1666:U1667" si="1427">Q1667</f>
        <v>202207.52000000002</v>
      </c>
      <c r="R1666" s="238">
        <f t="shared" si="1427"/>
        <v>144038.14000000001</v>
      </c>
      <c r="S1666" s="238">
        <f t="shared" si="1427"/>
        <v>0</v>
      </c>
      <c r="T1666" s="238">
        <f t="shared" si="1427"/>
        <v>0</v>
      </c>
      <c r="U1666" s="238">
        <f t="shared" si="1427"/>
        <v>0</v>
      </c>
      <c r="V1666" s="238">
        <f t="shared" si="1423"/>
        <v>199382</v>
      </c>
      <c r="W1666" s="238">
        <f t="shared" si="1423"/>
        <v>202207.52000000002</v>
      </c>
      <c r="X1666" s="238">
        <f t="shared" si="1423"/>
        <v>144038.14000000001</v>
      </c>
    </row>
    <row r="1667" spans="1:24" s="229" customFormat="1" ht="25.5" hidden="1">
      <c r="A1667" s="240" t="s">
        <v>260</v>
      </c>
      <c r="B1667" s="227" t="s">
        <v>402</v>
      </c>
      <c r="C1667" s="227" t="s">
        <v>18</v>
      </c>
      <c r="D1667" s="227" t="s">
        <v>13</v>
      </c>
      <c r="E1667" s="227" t="s">
        <v>82</v>
      </c>
      <c r="F1667" s="227" t="s">
        <v>70</v>
      </c>
      <c r="G1667" s="227" t="s">
        <v>148</v>
      </c>
      <c r="H1667" s="227" t="s">
        <v>360</v>
      </c>
      <c r="I1667" s="237" t="s">
        <v>94</v>
      </c>
      <c r="J1667" s="238"/>
      <c r="K1667" s="238"/>
      <c r="L1667" s="238"/>
      <c r="M1667" s="238"/>
      <c r="N1667" s="238"/>
      <c r="O1667" s="238"/>
      <c r="P1667" s="238">
        <f>P1668</f>
        <v>199382</v>
      </c>
      <c r="Q1667" s="238">
        <f t="shared" si="1427"/>
        <v>202207.52000000002</v>
      </c>
      <c r="R1667" s="238">
        <f t="shared" si="1427"/>
        <v>144038.14000000001</v>
      </c>
      <c r="S1667" s="238">
        <f t="shared" si="1427"/>
        <v>0</v>
      </c>
      <c r="T1667" s="238">
        <f t="shared" si="1427"/>
        <v>0</v>
      </c>
      <c r="U1667" s="238">
        <f t="shared" si="1427"/>
        <v>0</v>
      </c>
      <c r="V1667" s="238">
        <f t="shared" si="1423"/>
        <v>199382</v>
      </c>
      <c r="W1667" s="238">
        <f t="shared" si="1423"/>
        <v>202207.52000000002</v>
      </c>
      <c r="X1667" s="238">
        <f t="shared" si="1423"/>
        <v>144038.14000000001</v>
      </c>
    </row>
    <row r="1668" spans="1:24" s="229" customFormat="1" ht="25.5" hidden="1">
      <c r="A1668" s="239" t="s">
        <v>98</v>
      </c>
      <c r="B1668" s="227" t="s">
        <v>402</v>
      </c>
      <c r="C1668" s="227" t="s">
        <v>18</v>
      </c>
      <c r="D1668" s="227" t="s">
        <v>13</v>
      </c>
      <c r="E1668" s="227" t="s">
        <v>82</v>
      </c>
      <c r="F1668" s="227" t="s">
        <v>70</v>
      </c>
      <c r="G1668" s="227" t="s">
        <v>148</v>
      </c>
      <c r="H1668" s="227" t="s">
        <v>360</v>
      </c>
      <c r="I1668" s="237" t="s">
        <v>95</v>
      </c>
      <c r="J1668" s="238"/>
      <c r="K1668" s="238"/>
      <c r="L1668" s="238"/>
      <c r="M1668" s="238"/>
      <c r="N1668" s="238"/>
      <c r="O1668" s="238"/>
      <c r="P1668" s="238">
        <f>128694+70688</f>
        <v>199382</v>
      </c>
      <c r="Q1668" s="238">
        <f>127279.3+74928.22</f>
        <v>202207.52000000002</v>
      </c>
      <c r="R1668" s="238">
        <f>65363.51+78674.63</f>
        <v>144038.14000000001</v>
      </c>
      <c r="S1668" s="238"/>
      <c r="T1668" s="238"/>
      <c r="U1668" s="238"/>
      <c r="V1668" s="238">
        <f t="shared" si="1423"/>
        <v>199382</v>
      </c>
      <c r="W1668" s="238">
        <f t="shared" si="1423"/>
        <v>202207.52000000002</v>
      </c>
      <c r="X1668" s="238">
        <f t="shared" si="1423"/>
        <v>144038.14000000001</v>
      </c>
    </row>
    <row r="1669" spans="1:24" s="222" customFormat="1" ht="15.75" hidden="1">
      <c r="A1669" s="224" t="s">
        <v>469</v>
      </c>
      <c r="P1669" s="223">
        <f>P1670+P1685+P1691+P1714</f>
        <v>74723467.920000002</v>
      </c>
      <c r="Q1669" s="223">
        <f t="shared" ref="Q1669:X1669" si="1428">Q1670+Q1685+Q1691+Q1714</f>
        <v>75215267.109999999</v>
      </c>
      <c r="R1669" s="223">
        <f t="shared" si="1428"/>
        <v>75559046.899999991</v>
      </c>
      <c r="S1669" s="223">
        <f t="shared" si="1428"/>
        <v>789101.76</v>
      </c>
      <c r="T1669" s="223">
        <f t="shared" si="1428"/>
        <v>0</v>
      </c>
      <c r="U1669" s="223">
        <f t="shared" si="1428"/>
        <v>0</v>
      </c>
      <c r="V1669" s="223">
        <f t="shared" si="1428"/>
        <v>75512569.680000007</v>
      </c>
      <c r="W1669" s="223">
        <f t="shared" si="1428"/>
        <v>75215267.109999999</v>
      </c>
      <c r="X1669" s="223">
        <f t="shared" si="1428"/>
        <v>75559046.899999991</v>
      </c>
    </row>
    <row r="1670" spans="1:24" s="229" customFormat="1" ht="15.75" hidden="1">
      <c r="A1670" s="225" t="s">
        <v>32</v>
      </c>
      <c r="B1670" s="226" t="s">
        <v>402</v>
      </c>
      <c r="C1670" s="226" t="s">
        <v>20</v>
      </c>
      <c r="D1670" s="227"/>
      <c r="E1670" s="227"/>
      <c r="F1670" s="227"/>
      <c r="G1670" s="227"/>
      <c r="H1670" s="227"/>
      <c r="I1670" s="227"/>
      <c r="J1670" s="228"/>
      <c r="K1670" s="228"/>
      <c r="L1670" s="228"/>
      <c r="M1670" s="228"/>
      <c r="N1670" s="228"/>
      <c r="O1670" s="228"/>
      <c r="P1670" s="228">
        <f>P1671</f>
        <v>55938418</v>
      </c>
      <c r="Q1670" s="228">
        <f t="shared" ref="Q1670:U1670" si="1429">Q1671</f>
        <v>55682423.210000001</v>
      </c>
      <c r="R1670" s="228">
        <f t="shared" si="1429"/>
        <v>55838719.049999997</v>
      </c>
      <c r="S1670" s="228">
        <f t="shared" si="1429"/>
        <v>0</v>
      </c>
      <c r="T1670" s="228">
        <f t="shared" si="1429"/>
        <v>0</v>
      </c>
      <c r="U1670" s="228">
        <f t="shared" si="1429"/>
        <v>0</v>
      </c>
      <c r="V1670" s="228">
        <f t="shared" ref="V1670:X1685" si="1430">P1670+S1670</f>
        <v>55938418</v>
      </c>
      <c r="W1670" s="228">
        <f t="shared" si="1430"/>
        <v>55682423.210000001</v>
      </c>
      <c r="X1670" s="228">
        <f t="shared" si="1430"/>
        <v>55838719.049999997</v>
      </c>
    </row>
    <row r="1671" spans="1:24" s="229" customFormat="1" hidden="1">
      <c r="A1671" s="230" t="s">
        <v>1</v>
      </c>
      <c r="B1671" s="231" t="s">
        <v>402</v>
      </c>
      <c r="C1671" s="231" t="s">
        <v>20</v>
      </c>
      <c r="D1671" s="231" t="s">
        <v>49</v>
      </c>
      <c r="E1671" s="231"/>
      <c r="F1671" s="231"/>
      <c r="G1671" s="231"/>
      <c r="H1671" s="227"/>
      <c r="I1671" s="237"/>
      <c r="J1671" s="234"/>
      <c r="K1671" s="234"/>
      <c r="L1671" s="234"/>
      <c r="M1671" s="234"/>
      <c r="N1671" s="234"/>
      <c r="O1671" s="234"/>
      <c r="P1671" s="234">
        <f>P1672+P1677</f>
        <v>55938418</v>
      </c>
      <c r="Q1671" s="234">
        <f t="shared" ref="Q1671:U1671" si="1431">Q1672+Q1677</f>
        <v>55682423.210000001</v>
      </c>
      <c r="R1671" s="234">
        <f t="shared" si="1431"/>
        <v>55838719.049999997</v>
      </c>
      <c r="S1671" s="234">
        <f t="shared" si="1431"/>
        <v>0</v>
      </c>
      <c r="T1671" s="234">
        <f t="shared" si="1431"/>
        <v>0</v>
      </c>
      <c r="U1671" s="234">
        <f t="shared" si="1431"/>
        <v>0</v>
      </c>
      <c r="V1671" s="234">
        <f t="shared" si="1430"/>
        <v>55938418</v>
      </c>
      <c r="W1671" s="234">
        <f t="shared" si="1430"/>
        <v>55682423.210000001</v>
      </c>
      <c r="X1671" s="234">
        <f t="shared" si="1430"/>
        <v>55838719.049999997</v>
      </c>
    </row>
    <row r="1672" spans="1:24" s="229" customFormat="1" ht="38.25" hidden="1">
      <c r="A1672" s="235" t="s">
        <v>289</v>
      </c>
      <c r="B1672" s="243" t="s">
        <v>402</v>
      </c>
      <c r="C1672" s="243" t="s">
        <v>20</v>
      </c>
      <c r="D1672" s="243" t="s">
        <v>49</v>
      </c>
      <c r="E1672" s="243" t="s">
        <v>27</v>
      </c>
      <c r="F1672" s="243" t="s">
        <v>70</v>
      </c>
      <c r="G1672" s="243" t="s">
        <v>148</v>
      </c>
      <c r="H1672" s="227" t="s">
        <v>149</v>
      </c>
      <c r="I1672" s="237"/>
      <c r="J1672" s="244"/>
      <c r="K1672" s="244"/>
      <c r="L1672" s="244"/>
      <c r="M1672" s="244"/>
      <c r="N1672" s="244"/>
      <c r="O1672" s="244"/>
      <c r="P1672" s="244">
        <f>P1673</f>
        <v>1000000</v>
      </c>
      <c r="Q1672" s="244">
        <f t="shared" ref="Q1672:U1675" si="1432">Q1673</f>
        <v>0</v>
      </c>
      <c r="R1672" s="244">
        <f t="shared" si="1432"/>
        <v>0</v>
      </c>
      <c r="S1672" s="244">
        <f t="shared" si="1432"/>
        <v>0</v>
      </c>
      <c r="T1672" s="244">
        <f t="shared" si="1432"/>
        <v>0</v>
      </c>
      <c r="U1672" s="244">
        <f t="shared" si="1432"/>
        <v>0</v>
      </c>
      <c r="V1672" s="244">
        <f t="shared" si="1430"/>
        <v>1000000</v>
      </c>
      <c r="W1672" s="244">
        <f t="shared" si="1430"/>
        <v>0</v>
      </c>
      <c r="X1672" s="244">
        <f t="shared" si="1430"/>
        <v>0</v>
      </c>
    </row>
    <row r="1673" spans="1:24" s="229" customFormat="1" hidden="1">
      <c r="A1673" s="235" t="s">
        <v>211</v>
      </c>
      <c r="B1673" s="243" t="s">
        <v>402</v>
      </c>
      <c r="C1673" s="243" t="s">
        <v>20</v>
      </c>
      <c r="D1673" s="243" t="s">
        <v>49</v>
      </c>
      <c r="E1673" s="243" t="s">
        <v>27</v>
      </c>
      <c r="F1673" s="243" t="s">
        <v>44</v>
      </c>
      <c r="G1673" s="243" t="s">
        <v>148</v>
      </c>
      <c r="H1673" s="227" t="s">
        <v>149</v>
      </c>
      <c r="I1673" s="237"/>
      <c r="J1673" s="244"/>
      <c r="K1673" s="244"/>
      <c r="L1673" s="244"/>
      <c r="M1673" s="244"/>
      <c r="N1673" s="244"/>
      <c r="O1673" s="244"/>
      <c r="P1673" s="244">
        <f>P1674</f>
        <v>1000000</v>
      </c>
      <c r="Q1673" s="244">
        <f t="shared" si="1432"/>
        <v>0</v>
      </c>
      <c r="R1673" s="244">
        <f t="shared" si="1432"/>
        <v>0</v>
      </c>
      <c r="S1673" s="244">
        <f t="shared" si="1432"/>
        <v>0</v>
      </c>
      <c r="T1673" s="244">
        <f t="shared" si="1432"/>
        <v>0</v>
      </c>
      <c r="U1673" s="244">
        <f t="shared" si="1432"/>
        <v>0</v>
      </c>
      <c r="V1673" s="244">
        <f t="shared" si="1430"/>
        <v>1000000</v>
      </c>
      <c r="W1673" s="244">
        <f t="shared" si="1430"/>
        <v>0</v>
      </c>
      <c r="X1673" s="244">
        <f t="shared" si="1430"/>
        <v>0</v>
      </c>
    </row>
    <row r="1674" spans="1:24" s="229" customFormat="1" ht="25.5" hidden="1">
      <c r="A1674" s="235" t="s">
        <v>212</v>
      </c>
      <c r="B1674" s="243" t="s">
        <v>402</v>
      </c>
      <c r="C1674" s="243" t="s">
        <v>20</v>
      </c>
      <c r="D1674" s="243" t="s">
        <v>49</v>
      </c>
      <c r="E1674" s="243" t="s">
        <v>27</v>
      </c>
      <c r="F1674" s="243" t="s">
        <v>44</v>
      </c>
      <c r="G1674" s="243" t="s">
        <v>148</v>
      </c>
      <c r="H1674" s="227" t="s">
        <v>213</v>
      </c>
      <c r="I1674" s="237"/>
      <c r="J1674" s="244"/>
      <c r="K1674" s="244"/>
      <c r="L1674" s="244"/>
      <c r="M1674" s="244"/>
      <c r="N1674" s="244"/>
      <c r="O1674" s="244"/>
      <c r="P1674" s="244">
        <f>P1675</f>
        <v>1000000</v>
      </c>
      <c r="Q1674" s="244">
        <f t="shared" si="1432"/>
        <v>0</v>
      </c>
      <c r="R1674" s="244">
        <f t="shared" si="1432"/>
        <v>0</v>
      </c>
      <c r="S1674" s="244">
        <f t="shared" si="1432"/>
        <v>0</v>
      </c>
      <c r="T1674" s="244">
        <f t="shared" si="1432"/>
        <v>0</v>
      </c>
      <c r="U1674" s="244">
        <f t="shared" si="1432"/>
        <v>0</v>
      </c>
      <c r="V1674" s="244">
        <f t="shared" si="1430"/>
        <v>1000000</v>
      </c>
      <c r="W1674" s="244">
        <f t="shared" si="1430"/>
        <v>0</v>
      </c>
      <c r="X1674" s="244">
        <f t="shared" si="1430"/>
        <v>0</v>
      </c>
    </row>
    <row r="1675" spans="1:24" s="229" customFormat="1" ht="25.5" hidden="1">
      <c r="A1675" s="240" t="s">
        <v>260</v>
      </c>
      <c r="B1675" s="243" t="s">
        <v>402</v>
      </c>
      <c r="C1675" s="243" t="s">
        <v>20</v>
      </c>
      <c r="D1675" s="243" t="s">
        <v>49</v>
      </c>
      <c r="E1675" s="243" t="s">
        <v>27</v>
      </c>
      <c r="F1675" s="243" t="s">
        <v>44</v>
      </c>
      <c r="G1675" s="243" t="s">
        <v>148</v>
      </c>
      <c r="H1675" s="227" t="s">
        <v>213</v>
      </c>
      <c r="I1675" s="237" t="s">
        <v>94</v>
      </c>
      <c r="J1675" s="244"/>
      <c r="K1675" s="244"/>
      <c r="L1675" s="244"/>
      <c r="M1675" s="244"/>
      <c r="N1675" s="244"/>
      <c r="O1675" s="244"/>
      <c r="P1675" s="244">
        <f>P1676</f>
        <v>1000000</v>
      </c>
      <c r="Q1675" s="244">
        <f t="shared" si="1432"/>
        <v>0</v>
      </c>
      <c r="R1675" s="244">
        <f t="shared" si="1432"/>
        <v>0</v>
      </c>
      <c r="S1675" s="244">
        <f t="shared" si="1432"/>
        <v>0</v>
      </c>
      <c r="T1675" s="244">
        <f t="shared" si="1432"/>
        <v>0</v>
      </c>
      <c r="U1675" s="244">
        <f t="shared" si="1432"/>
        <v>0</v>
      </c>
      <c r="V1675" s="244">
        <f t="shared" si="1430"/>
        <v>1000000</v>
      </c>
      <c r="W1675" s="244">
        <f t="shared" si="1430"/>
        <v>0</v>
      </c>
      <c r="X1675" s="244">
        <f t="shared" si="1430"/>
        <v>0</v>
      </c>
    </row>
    <row r="1676" spans="1:24" s="229" customFormat="1" ht="25.5" hidden="1">
      <c r="A1676" s="239" t="s">
        <v>98</v>
      </c>
      <c r="B1676" s="243" t="s">
        <v>402</v>
      </c>
      <c r="C1676" s="243" t="s">
        <v>20</v>
      </c>
      <c r="D1676" s="243" t="s">
        <v>49</v>
      </c>
      <c r="E1676" s="243" t="s">
        <v>27</v>
      </c>
      <c r="F1676" s="243" t="s">
        <v>44</v>
      </c>
      <c r="G1676" s="243" t="s">
        <v>148</v>
      </c>
      <c r="H1676" s="227" t="s">
        <v>213</v>
      </c>
      <c r="I1676" s="237" t="s">
        <v>95</v>
      </c>
      <c r="J1676" s="244"/>
      <c r="K1676" s="244"/>
      <c r="L1676" s="244"/>
      <c r="M1676" s="244"/>
      <c r="N1676" s="244"/>
      <c r="O1676" s="244"/>
      <c r="P1676" s="244">
        <v>1000000</v>
      </c>
      <c r="Q1676" s="244"/>
      <c r="R1676" s="244">
        <f t="shared" ref="R1676" si="1433">L1676+O1676</f>
        <v>0</v>
      </c>
      <c r="S1676" s="244"/>
      <c r="T1676" s="244"/>
      <c r="U1676" s="244"/>
      <c r="V1676" s="244">
        <f t="shared" si="1430"/>
        <v>1000000</v>
      </c>
      <c r="W1676" s="244">
        <f t="shared" si="1430"/>
        <v>0</v>
      </c>
      <c r="X1676" s="244">
        <f t="shared" si="1430"/>
        <v>0</v>
      </c>
    </row>
    <row r="1677" spans="1:24" s="229" customFormat="1" hidden="1">
      <c r="A1677" s="235" t="s">
        <v>83</v>
      </c>
      <c r="B1677" s="227" t="s">
        <v>402</v>
      </c>
      <c r="C1677" s="227" t="s">
        <v>20</v>
      </c>
      <c r="D1677" s="227" t="s">
        <v>49</v>
      </c>
      <c r="E1677" s="227" t="s">
        <v>82</v>
      </c>
      <c r="F1677" s="227" t="s">
        <v>70</v>
      </c>
      <c r="G1677" s="227" t="s">
        <v>148</v>
      </c>
      <c r="H1677" s="227" t="s">
        <v>149</v>
      </c>
      <c r="I1677" s="237"/>
      <c r="J1677" s="238"/>
      <c r="K1677" s="238"/>
      <c r="L1677" s="238"/>
      <c r="M1677" s="238"/>
      <c r="N1677" s="238"/>
      <c r="O1677" s="238"/>
      <c r="P1677" s="238">
        <f>P1678</f>
        <v>54938418</v>
      </c>
      <c r="Q1677" s="238">
        <f t="shared" ref="Q1677:U1677" si="1434">Q1678</f>
        <v>55682423.210000001</v>
      </c>
      <c r="R1677" s="238">
        <f t="shared" si="1434"/>
        <v>55838719.049999997</v>
      </c>
      <c r="S1677" s="238">
        <f t="shared" si="1434"/>
        <v>0</v>
      </c>
      <c r="T1677" s="238">
        <f t="shared" si="1434"/>
        <v>0</v>
      </c>
      <c r="U1677" s="238">
        <f t="shared" si="1434"/>
        <v>0</v>
      </c>
      <c r="V1677" s="238">
        <f t="shared" si="1430"/>
        <v>54938418</v>
      </c>
      <c r="W1677" s="238">
        <f t="shared" si="1430"/>
        <v>55682423.210000001</v>
      </c>
      <c r="X1677" s="238">
        <f t="shared" si="1430"/>
        <v>55838719.049999997</v>
      </c>
    </row>
    <row r="1678" spans="1:24" s="229" customFormat="1" hidden="1">
      <c r="A1678" s="235" t="s">
        <v>91</v>
      </c>
      <c r="B1678" s="247" t="s">
        <v>402</v>
      </c>
      <c r="C1678" s="247" t="s">
        <v>20</v>
      </c>
      <c r="D1678" s="247" t="s">
        <v>49</v>
      </c>
      <c r="E1678" s="227" t="s">
        <v>82</v>
      </c>
      <c r="F1678" s="227" t="s">
        <v>70</v>
      </c>
      <c r="G1678" s="227" t="s">
        <v>148</v>
      </c>
      <c r="H1678" s="247" t="s">
        <v>177</v>
      </c>
      <c r="I1678" s="248"/>
      <c r="J1678" s="238"/>
      <c r="K1678" s="238"/>
      <c r="L1678" s="238"/>
      <c r="M1678" s="238"/>
      <c r="N1678" s="238"/>
      <c r="O1678" s="238"/>
      <c r="P1678" s="238">
        <f>P1679+P1681+P1683</f>
        <v>54938418</v>
      </c>
      <c r="Q1678" s="238">
        <f t="shared" ref="Q1678:U1678" si="1435">Q1679+Q1681+Q1683</f>
        <v>55682423.210000001</v>
      </c>
      <c r="R1678" s="238">
        <f t="shared" si="1435"/>
        <v>55838719.049999997</v>
      </c>
      <c r="S1678" s="238">
        <f t="shared" si="1435"/>
        <v>0</v>
      </c>
      <c r="T1678" s="238">
        <f t="shared" si="1435"/>
        <v>0</v>
      </c>
      <c r="U1678" s="238">
        <f t="shared" si="1435"/>
        <v>0</v>
      </c>
      <c r="V1678" s="238">
        <f t="shared" si="1430"/>
        <v>54938418</v>
      </c>
      <c r="W1678" s="238">
        <f t="shared" si="1430"/>
        <v>55682423.210000001</v>
      </c>
      <c r="X1678" s="238">
        <f t="shared" si="1430"/>
        <v>55838719.049999997</v>
      </c>
    </row>
    <row r="1679" spans="1:24" s="229" customFormat="1" ht="38.25" hidden="1">
      <c r="A1679" s="239" t="s">
        <v>96</v>
      </c>
      <c r="B1679" s="247" t="s">
        <v>402</v>
      </c>
      <c r="C1679" s="247" t="s">
        <v>20</v>
      </c>
      <c r="D1679" s="247" t="s">
        <v>49</v>
      </c>
      <c r="E1679" s="227" t="s">
        <v>82</v>
      </c>
      <c r="F1679" s="227" t="s">
        <v>70</v>
      </c>
      <c r="G1679" s="227" t="s">
        <v>148</v>
      </c>
      <c r="H1679" s="247" t="s">
        <v>177</v>
      </c>
      <c r="I1679" s="248" t="s">
        <v>92</v>
      </c>
      <c r="J1679" s="238"/>
      <c r="K1679" s="238"/>
      <c r="L1679" s="238"/>
      <c r="M1679" s="238"/>
      <c r="N1679" s="238"/>
      <c r="O1679" s="238"/>
      <c r="P1679" s="238">
        <f>P1680</f>
        <v>44628700</v>
      </c>
      <c r="Q1679" s="238">
        <f t="shared" ref="Q1679:U1679" si="1436">Q1680</f>
        <v>45076036.490000002</v>
      </c>
      <c r="R1679" s="238">
        <f t="shared" si="1436"/>
        <v>45423796.859999999</v>
      </c>
      <c r="S1679" s="238">
        <f t="shared" si="1436"/>
        <v>0</v>
      </c>
      <c r="T1679" s="238">
        <f t="shared" si="1436"/>
        <v>0</v>
      </c>
      <c r="U1679" s="238">
        <f t="shared" si="1436"/>
        <v>0</v>
      </c>
      <c r="V1679" s="238">
        <f t="shared" si="1430"/>
        <v>44628700</v>
      </c>
      <c r="W1679" s="238">
        <f t="shared" si="1430"/>
        <v>45076036.490000002</v>
      </c>
      <c r="X1679" s="238">
        <f t="shared" si="1430"/>
        <v>45423796.859999999</v>
      </c>
    </row>
    <row r="1680" spans="1:24" s="229" customFormat="1" hidden="1">
      <c r="A1680" s="239" t="s">
        <v>97</v>
      </c>
      <c r="B1680" s="247" t="s">
        <v>402</v>
      </c>
      <c r="C1680" s="247" t="s">
        <v>20</v>
      </c>
      <c r="D1680" s="247" t="s">
        <v>49</v>
      </c>
      <c r="E1680" s="227" t="s">
        <v>82</v>
      </c>
      <c r="F1680" s="227" t="s">
        <v>70</v>
      </c>
      <c r="G1680" s="227" t="s">
        <v>148</v>
      </c>
      <c r="H1680" s="247" t="s">
        <v>177</v>
      </c>
      <c r="I1680" s="248" t="s">
        <v>93</v>
      </c>
      <c r="J1680" s="238"/>
      <c r="K1680" s="238"/>
      <c r="L1680" s="238"/>
      <c r="M1680" s="238"/>
      <c r="N1680" s="238"/>
      <c r="O1680" s="238"/>
      <c r="P1680" s="238">
        <v>44628700</v>
      </c>
      <c r="Q1680" s="238">
        <v>45076036.490000002</v>
      </c>
      <c r="R1680" s="238">
        <v>45423796.859999999</v>
      </c>
      <c r="S1680" s="238"/>
      <c r="T1680" s="238"/>
      <c r="U1680" s="238"/>
      <c r="V1680" s="238">
        <f t="shared" si="1430"/>
        <v>44628700</v>
      </c>
      <c r="W1680" s="238">
        <f t="shared" si="1430"/>
        <v>45076036.490000002</v>
      </c>
      <c r="X1680" s="238">
        <f t="shared" si="1430"/>
        <v>45423796.859999999</v>
      </c>
    </row>
    <row r="1681" spans="1:24" s="229" customFormat="1" ht="25.5" hidden="1">
      <c r="A1681" s="240" t="s">
        <v>260</v>
      </c>
      <c r="B1681" s="247" t="s">
        <v>402</v>
      </c>
      <c r="C1681" s="247" t="s">
        <v>20</v>
      </c>
      <c r="D1681" s="247" t="s">
        <v>49</v>
      </c>
      <c r="E1681" s="227" t="s">
        <v>82</v>
      </c>
      <c r="F1681" s="227" t="s">
        <v>70</v>
      </c>
      <c r="G1681" s="227" t="s">
        <v>148</v>
      </c>
      <c r="H1681" s="247" t="s">
        <v>177</v>
      </c>
      <c r="I1681" s="248" t="s">
        <v>94</v>
      </c>
      <c r="J1681" s="238"/>
      <c r="K1681" s="238"/>
      <c r="L1681" s="238"/>
      <c r="M1681" s="238"/>
      <c r="N1681" s="238"/>
      <c r="O1681" s="238"/>
      <c r="P1681" s="238">
        <f>P1682</f>
        <v>10274718</v>
      </c>
      <c r="Q1681" s="238">
        <f t="shared" ref="Q1681:U1681" si="1437">Q1682</f>
        <v>10571386.720000001</v>
      </c>
      <c r="R1681" s="238">
        <f t="shared" si="1437"/>
        <v>10379922.189999999</v>
      </c>
      <c r="S1681" s="238">
        <f t="shared" si="1437"/>
        <v>0</v>
      </c>
      <c r="T1681" s="238">
        <f t="shared" si="1437"/>
        <v>0</v>
      </c>
      <c r="U1681" s="238">
        <f t="shared" si="1437"/>
        <v>0</v>
      </c>
      <c r="V1681" s="238">
        <f t="shared" si="1430"/>
        <v>10274718</v>
      </c>
      <c r="W1681" s="238">
        <f t="shared" si="1430"/>
        <v>10571386.720000001</v>
      </c>
      <c r="X1681" s="238">
        <f t="shared" si="1430"/>
        <v>10379922.189999999</v>
      </c>
    </row>
    <row r="1682" spans="1:24" s="229" customFormat="1" ht="25.5" hidden="1">
      <c r="A1682" s="239" t="s">
        <v>98</v>
      </c>
      <c r="B1682" s="247" t="s">
        <v>402</v>
      </c>
      <c r="C1682" s="247" t="s">
        <v>20</v>
      </c>
      <c r="D1682" s="247" t="s">
        <v>49</v>
      </c>
      <c r="E1682" s="227" t="s">
        <v>82</v>
      </c>
      <c r="F1682" s="227" t="s">
        <v>70</v>
      </c>
      <c r="G1682" s="227" t="s">
        <v>148</v>
      </c>
      <c r="H1682" s="247" t="s">
        <v>177</v>
      </c>
      <c r="I1682" s="248" t="s">
        <v>95</v>
      </c>
      <c r="J1682" s="238"/>
      <c r="K1682" s="238"/>
      <c r="L1682" s="238"/>
      <c r="M1682" s="238"/>
      <c r="N1682" s="238"/>
      <c r="O1682" s="238"/>
      <c r="P1682" s="238">
        <v>10274718</v>
      </c>
      <c r="Q1682" s="238">
        <v>10571386.720000001</v>
      </c>
      <c r="R1682" s="238">
        <v>10379922.189999999</v>
      </c>
      <c r="S1682" s="238"/>
      <c r="T1682" s="238"/>
      <c r="U1682" s="238"/>
      <c r="V1682" s="238">
        <f t="shared" si="1430"/>
        <v>10274718</v>
      </c>
      <c r="W1682" s="238">
        <f t="shared" si="1430"/>
        <v>10571386.720000001</v>
      </c>
      <c r="X1682" s="238">
        <f t="shared" si="1430"/>
        <v>10379922.189999999</v>
      </c>
    </row>
    <row r="1683" spans="1:24" s="229" customFormat="1" hidden="1">
      <c r="A1683" s="239" t="s">
        <v>80</v>
      </c>
      <c r="B1683" s="247" t="s">
        <v>402</v>
      </c>
      <c r="C1683" s="247" t="s">
        <v>20</v>
      </c>
      <c r="D1683" s="247" t="s">
        <v>49</v>
      </c>
      <c r="E1683" s="227" t="s">
        <v>82</v>
      </c>
      <c r="F1683" s="227" t="s">
        <v>70</v>
      </c>
      <c r="G1683" s="227" t="s">
        <v>148</v>
      </c>
      <c r="H1683" s="247" t="s">
        <v>177</v>
      </c>
      <c r="I1683" s="248" t="s">
        <v>77</v>
      </c>
      <c r="J1683" s="238"/>
      <c r="K1683" s="238"/>
      <c r="L1683" s="238"/>
      <c r="M1683" s="238"/>
      <c r="N1683" s="238"/>
      <c r="O1683" s="238"/>
      <c r="P1683" s="238">
        <f>P1684</f>
        <v>35000</v>
      </c>
      <c r="Q1683" s="238">
        <f t="shared" ref="Q1683:U1683" si="1438">Q1684</f>
        <v>35000</v>
      </c>
      <c r="R1683" s="238">
        <f t="shared" si="1438"/>
        <v>35000</v>
      </c>
      <c r="S1683" s="238">
        <f t="shared" si="1438"/>
        <v>0</v>
      </c>
      <c r="T1683" s="238">
        <f t="shared" si="1438"/>
        <v>0</v>
      </c>
      <c r="U1683" s="238">
        <f t="shared" si="1438"/>
        <v>0</v>
      </c>
      <c r="V1683" s="238">
        <f t="shared" si="1430"/>
        <v>35000</v>
      </c>
      <c r="W1683" s="238">
        <f t="shared" si="1430"/>
        <v>35000</v>
      </c>
      <c r="X1683" s="238">
        <f t="shared" si="1430"/>
        <v>35000</v>
      </c>
    </row>
    <row r="1684" spans="1:24" s="229" customFormat="1" hidden="1">
      <c r="A1684" s="241" t="s">
        <v>125</v>
      </c>
      <c r="B1684" s="247" t="s">
        <v>402</v>
      </c>
      <c r="C1684" s="247" t="s">
        <v>20</v>
      </c>
      <c r="D1684" s="247" t="s">
        <v>49</v>
      </c>
      <c r="E1684" s="227" t="s">
        <v>82</v>
      </c>
      <c r="F1684" s="227" t="s">
        <v>70</v>
      </c>
      <c r="G1684" s="227" t="s">
        <v>148</v>
      </c>
      <c r="H1684" s="247" t="s">
        <v>177</v>
      </c>
      <c r="I1684" s="248" t="s">
        <v>124</v>
      </c>
      <c r="J1684" s="238"/>
      <c r="K1684" s="238"/>
      <c r="L1684" s="238"/>
      <c r="M1684" s="238"/>
      <c r="N1684" s="238"/>
      <c r="O1684" s="238"/>
      <c r="P1684" s="238">
        <v>35000</v>
      </c>
      <c r="Q1684" s="238">
        <v>35000</v>
      </c>
      <c r="R1684" s="238">
        <v>35000</v>
      </c>
      <c r="S1684" s="238"/>
      <c r="T1684" s="238"/>
      <c r="U1684" s="238"/>
      <c r="V1684" s="238">
        <f t="shared" si="1430"/>
        <v>35000</v>
      </c>
      <c r="W1684" s="238">
        <f t="shared" si="1430"/>
        <v>35000</v>
      </c>
      <c r="X1684" s="238">
        <f t="shared" si="1430"/>
        <v>35000</v>
      </c>
    </row>
    <row r="1685" spans="1:24" s="255" customFormat="1" ht="31.5" hidden="1">
      <c r="A1685" s="249" t="s">
        <v>26</v>
      </c>
      <c r="B1685" s="251" t="s">
        <v>402</v>
      </c>
      <c r="C1685" s="251" t="s">
        <v>13</v>
      </c>
      <c r="D1685" s="252"/>
      <c r="E1685" s="252"/>
      <c r="F1685" s="252"/>
      <c r="G1685" s="252"/>
      <c r="H1685" s="252"/>
      <c r="I1685" s="253"/>
      <c r="J1685" s="254"/>
      <c r="K1685" s="254"/>
      <c r="L1685" s="254"/>
      <c r="M1685" s="254"/>
      <c r="N1685" s="254"/>
      <c r="O1685" s="254"/>
      <c r="P1685" s="254">
        <f>P1686</f>
        <v>500000</v>
      </c>
      <c r="Q1685" s="254">
        <f t="shared" ref="Q1685:U1689" si="1439">Q1686</f>
        <v>500000</v>
      </c>
      <c r="R1685" s="254">
        <f t="shared" si="1439"/>
        <v>500000</v>
      </c>
      <c r="S1685" s="254">
        <f t="shared" si="1439"/>
        <v>0</v>
      </c>
      <c r="T1685" s="254">
        <f t="shared" si="1439"/>
        <v>0</v>
      </c>
      <c r="U1685" s="254">
        <f t="shared" si="1439"/>
        <v>0</v>
      </c>
      <c r="V1685" s="254">
        <f t="shared" si="1430"/>
        <v>500000</v>
      </c>
      <c r="W1685" s="254">
        <f t="shared" si="1430"/>
        <v>500000</v>
      </c>
      <c r="X1685" s="254">
        <f t="shared" si="1430"/>
        <v>500000</v>
      </c>
    </row>
    <row r="1686" spans="1:24" s="229" customFormat="1" ht="38.25" hidden="1">
      <c r="A1686" s="256" t="s">
        <v>230</v>
      </c>
      <c r="B1686" s="257" t="s">
        <v>402</v>
      </c>
      <c r="C1686" s="257" t="s">
        <v>13</v>
      </c>
      <c r="D1686" s="257" t="s">
        <v>30</v>
      </c>
      <c r="E1686" s="257"/>
      <c r="F1686" s="257"/>
      <c r="G1686" s="257"/>
      <c r="H1686" s="257"/>
      <c r="I1686" s="258"/>
      <c r="J1686" s="259"/>
      <c r="K1686" s="259"/>
      <c r="L1686" s="259"/>
      <c r="M1686" s="259"/>
      <c r="N1686" s="259"/>
      <c r="O1686" s="259"/>
      <c r="P1686" s="259">
        <f>P1687</f>
        <v>500000</v>
      </c>
      <c r="Q1686" s="259">
        <f t="shared" si="1439"/>
        <v>500000</v>
      </c>
      <c r="R1686" s="259">
        <f t="shared" si="1439"/>
        <v>500000</v>
      </c>
      <c r="S1686" s="259">
        <f t="shared" si="1439"/>
        <v>0</v>
      </c>
      <c r="T1686" s="259">
        <f t="shared" si="1439"/>
        <v>0</v>
      </c>
      <c r="U1686" s="259">
        <f t="shared" si="1439"/>
        <v>0</v>
      </c>
      <c r="V1686" s="259">
        <f t="shared" ref="V1686:X1701" si="1440">P1686+S1686</f>
        <v>500000</v>
      </c>
      <c r="W1686" s="259">
        <f t="shared" si="1440"/>
        <v>500000</v>
      </c>
      <c r="X1686" s="259">
        <f t="shared" si="1440"/>
        <v>500000</v>
      </c>
    </row>
    <row r="1687" spans="1:24" s="229" customFormat="1" hidden="1">
      <c r="A1687" s="260" t="s">
        <v>290</v>
      </c>
      <c r="B1687" s="261" t="s">
        <v>402</v>
      </c>
      <c r="C1687" s="261" t="s">
        <v>13</v>
      </c>
      <c r="D1687" s="261" t="s">
        <v>30</v>
      </c>
      <c r="E1687" s="261" t="s">
        <v>214</v>
      </c>
      <c r="F1687" s="261" t="s">
        <v>70</v>
      </c>
      <c r="G1687" s="261" t="s">
        <v>148</v>
      </c>
      <c r="H1687" s="261" t="s">
        <v>149</v>
      </c>
      <c r="I1687" s="262"/>
      <c r="J1687" s="263"/>
      <c r="K1687" s="263"/>
      <c r="L1687" s="263"/>
      <c r="M1687" s="263"/>
      <c r="N1687" s="263"/>
      <c r="O1687" s="263"/>
      <c r="P1687" s="263">
        <f>P1688</f>
        <v>500000</v>
      </c>
      <c r="Q1687" s="263">
        <f t="shared" si="1439"/>
        <v>500000</v>
      </c>
      <c r="R1687" s="263">
        <f t="shared" si="1439"/>
        <v>500000</v>
      </c>
      <c r="S1687" s="263">
        <f t="shared" si="1439"/>
        <v>0</v>
      </c>
      <c r="T1687" s="263">
        <f t="shared" si="1439"/>
        <v>0</v>
      </c>
      <c r="U1687" s="263">
        <f t="shared" si="1439"/>
        <v>0</v>
      </c>
      <c r="V1687" s="263">
        <f t="shared" si="1440"/>
        <v>500000</v>
      </c>
      <c r="W1687" s="263">
        <f t="shared" si="1440"/>
        <v>500000</v>
      </c>
      <c r="X1687" s="263">
        <f t="shared" si="1440"/>
        <v>500000</v>
      </c>
    </row>
    <row r="1688" spans="1:24" s="229" customFormat="1" hidden="1">
      <c r="A1688" s="241" t="s">
        <v>336</v>
      </c>
      <c r="B1688" s="261" t="s">
        <v>402</v>
      </c>
      <c r="C1688" s="261" t="s">
        <v>13</v>
      </c>
      <c r="D1688" s="261" t="s">
        <v>30</v>
      </c>
      <c r="E1688" s="261" t="s">
        <v>214</v>
      </c>
      <c r="F1688" s="261" t="s">
        <v>70</v>
      </c>
      <c r="G1688" s="261" t="s">
        <v>148</v>
      </c>
      <c r="H1688" s="261" t="s">
        <v>335</v>
      </c>
      <c r="I1688" s="262"/>
      <c r="J1688" s="263"/>
      <c r="K1688" s="263"/>
      <c r="L1688" s="263"/>
      <c r="M1688" s="263"/>
      <c r="N1688" s="263"/>
      <c r="O1688" s="263"/>
      <c r="P1688" s="263">
        <f>P1689</f>
        <v>500000</v>
      </c>
      <c r="Q1688" s="263">
        <f t="shared" si="1439"/>
        <v>500000</v>
      </c>
      <c r="R1688" s="263">
        <f t="shared" si="1439"/>
        <v>500000</v>
      </c>
      <c r="S1688" s="263">
        <f t="shared" si="1439"/>
        <v>0</v>
      </c>
      <c r="T1688" s="263">
        <f t="shared" si="1439"/>
        <v>0</v>
      </c>
      <c r="U1688" s="263">
        <f t="shared" si="1439"/>
        <v>0</v>
      </c>
      <c r="V1688" s="263">
        <f t="shared" si="1440"/>
        <v>500000</v>
      </c>
      <c r="W1688" s="263">
        <f t="shared" si="1440"/>
        <v>500000</v>
      </c>
      <c r="X1688" s="263">
        <f t="shared" si="1440"/>
        <v>500000</v>
      </c>
    </row>
    <row r="1689" spans="1:24" s="229" customFormat="1" ht="25.5" hidden="1">
      <c r="A1689" s="240" t="s">
        <v>260</v>
      </c>
      <c r="B1689" s="261" t="s">
        <v>402</v>
      </c>
      <c r="C1689" s="261" t="s">
        <v>13</v>
      </c>
      <c r="D1689" s="261" t="s">
        <v>30</v>
      </c>
      <c r="E1689" s="261" t="s">
        <v>214</v>
      </c>
      <c r="F1689" s="261" t="s">
        <v>70</v>
      </c>
      <c r="G1689" s="261" t="s">
        <v>148</v>
      </c>
      <c r="H1689" s="261" t="s">
        <v>335</v>
      </c>
      <c r="I1689" s="262" t="s">
        <v>94</v>
      </c>
      <c r="J1689" s="263"/>
      <c r="K1689" s="263"/>
      <c r="L1689" s="263"/>
      <c r="M1689" s="263"/>
      <c r="N1689" s="263"/>
      <c r="O1689" s="263"/>
      <c r="P1689" s="263">
        <f>P1690</f>
        <v>500000</v>
      </c>
      <c r="Q1689" s="263">
        <f t="shared" si="1439"/>
        <v>500000</v>
      </c>
      <c r="R1689" s="263">
        <f t="shared" si="1439"/>
        <v>500000</v>
      </c>
      <c r="S1689" s="263">
        <f t="shared" si="1439"/>
        <v>0</v>
      </c>
      <c r="T1689" s="263">
        <f t="shared" si="1439"/>
        <v>0</v>
      </c>
      <c r="U1689" s="263">
        <f t="shared" si="1439"/>
        <v>0</v>
      </c>
      <c r="V1689" s="263">
        <f t="shared" si="1440"/>
        <v>500000</v>
      </c>
      <c r="W1689" s="263">
        <f t="shared" si="1440"/>
        <v>500000</v>
      </c>
      <c r="X1689" s="263">
        <f t="shared" si="1440"/>
        <v>500000</v>
      </c>
    </row>
    <row r="1690" spans="1:24" s="229" customFormat="1" ht="25.5" hidden="1">
      <c r="A1690" s="239" t="s">
        <v>98</v>
      </c>
      <c r="B1690" s="261" t="s">
        <v>402</v>
      </c>
      <c r="C1690" s="261" t="s">
        <v>13</v>
      </c>
      <c r="D1690" s="261" t="s">
        <v>30</v>
      </c>
      <c r="E1690" s="261" t="s">
        <v>214</v>
      </c>
      <c r="F1690" s="261" t="s">
        <v>70</v>
      </c>
      <c r="G1690" s="261" t="s">
        <v>148</v>
      </c>
      <c r="H1690" s="261" t="s">
        <v>335</v>
      </c>
      <c r="I1690" s="262" t="s">
        <v>95</v>
      </c>
      <c r="J1690" s="263"/>
      <c r="K1690" s="263"/>
      <c r="L1690" s="263"/>
      <c r="M1690" s="263"/>
      <c r="N1690" s="263"/>
      <c r="O1690" s="263"/>
      <c r="P1690" s="263">
        <v>500000</v>
      </c>
      <c r="Q1690" s="263">
        <v>500000</v>
      </c>
      <c r="R1690" s="263">
        <v>500000</v>
      </c>
      <c r="S1690" s="263"/>
      <c r="T1690" s="263"/>
      <c r="U1690" s="263"/>
      <c r="V1690" s="263">
        <f t="shared" si="1440"/>
        <v>500000</v>
      </c>
      <c r="W1690" s="263">
        <f t="shared" si="1440"/>
        <v>500000</v>
      </c>
      <c r="X1690" s="263">
        <f t="shared" si="1440"/>
        <v>500000</v>
      </c>
    </row>
    <row r="1691" spans="1:24" s="229" customFormat="1" ht="15.75" hidden="1">
      <c r="A1691" s="225" t="s">
        <v>15</v>
      </c>
      <c r="B1691" s="266" t="s">
        <v>402</v>
      </c>
      <c r="C1691" s="266" t="s">
        <v>16</v>
      </c>
      <c r="D1691" s="247"/>
      <c r="E1691" s="247"/>
      <c r="F1691" s="247"/>
      <c r="G1691" s="247"/>
      <c r="H1691" s="247"/>
      <c r="I1691" s="248"/>
      <c r="J1691" s="228"/>
      <c r="K1691" s="228"/>
      <c r="L1691" s="228"/>
      <c r="M1691" s="228"/>
      <c r="N1691" s="228"/>
      <c r="O1691" s="228"/>
      <c r="P1691" s="228">
        <f>P1692+P1701</f>
        <v>7123131.6799999997</v>
      </c>
      <c r="Q1691" s="228">
        <f t="shared" ref="Q1691:W1691" si="1441">Q1692+Q1701</f>
        <v>6937404.7599999998</v>
      </c>
      <c r="R1691" s="228">
        <f t="shared" si="1441"/>
        <v>6973077.3000000007</v>
      </c>
      <c r="S1691" s="228">
        <f t="shared" si="1441"/>
        <v>300000</v>
      </c>
      <c r="T1691" s="228">
        <f t="shared" si="1441"/>
        <v>0</v>
      </c>
      <c r="U1691" s="228">
        <f t="shared" si="1441"/>
        <v>0</v>
      </c>
      <c r="V1691" s="228">
        <f t="shared" si="1441"/>
        <v>7423131.6799999997</v>
      </c>
      <c r="W1691" s="228">
        <f t="shared" si="1441"/>
        <v>6937404.7599999998</v>
      </c>
      <c r="X1691" s="228">
        <f t="shared" si="1440"/>
        <v>6973077.3000000007</v>
      </c>
    </row>
    <row r="1692" spans="1:24" s="229" customFormat="1" hidden="1">
      <c r="A1692" s="230" t="s">
        <v>23</v>
      </c>
      <c r="B1692" s="232" t="s">
        <v>402</v>
      </c>
      <c r="C1692" s="232" t="s">
        <v>16</v>
      </c>
      <c r="D1692" s="232" t="s">
        <v>27</v>
      </c>
      <c r="E1692" s="232"/>
      <c r="F1692" s="232"/>
      <c r="G1692" s="232"/>
      <c r="H1692" s="269"/>
      <c r="I1692" s="233"/>
      <c r="J1692" s="234"/>
      <c r="K1692" s="234"/>
      <c r="L1692" s="234"/>
      <c r="M1692" s="234"/>
      <c r="N1692" s="234"/>
      <c r="O1692" s="234"/>
      <c r="P1692" s="234">
        <f>P1693</f>
        <v>5036900</v>
      </c>
      <c r="Q1692" s="234">
        <f t="shared" ref="Q1692:U1693" si="1442">Q1693</f>
        <v>5063255.07</v>
      </c>
      <c r="R1692" s="234">
        <f t="shared" si="1442"/>
        <v>5089927.62</v>
      </c>
      <c r="S1692" s="234">
        <f t="shared" si="1442"/>
        <v>0</v>
      </c>
      <c r="T1692" s="234">
        <f t="shared" si="1442"/>
        <v>0</v>
      </c>
      <c r="U1692" s="234">
        <f t="shared" si="1442"/>
        <v>0</v>
      </c>
      <c r="V1692" s="234">
        <f t="shared" ref="V1692:X1707" si="1443">P1692+S1692</f>
        <v>5036900</v>
      </c>
      <c r="W1692" s="234">
        <f t="shared" si="1443"/>
        <v>5063255.07</v>
      </c>
      <c r="X1692" s="234">
        <f t="shared" si="1440"/>
        <v>5089927.62</v>
      </c>
    </row>
    <row r="1693" spans="1:24" s="229" customFormat="1" ht="38.25" hidden="1">
      <c r="A1693" s="235" t="s">
        <v>396</v>
      </c>
      <c r="B1693" s="227" t="s">
        <v>402</v>
      </c>
      <c r="C1693" s="227" t="s">
        <v>16</v>
      </c>
      <c r="D1693" s="227" t="s">
        <v>27</v>
      </c>
      <c r="E1693" s="227" t="s">
        <v>18</v>
      </c>
      <c r="F1693" s="227" t="s">
        <v>70</v>
      </c>
      <c r="G1693" s="227" t="s">
        <v>148</v>
      </c>
      <c r="H1693" s="267" t="s">
        <v>149</v>
      </c>
      <c r="I1693" s="237"/>
      <c r="J1693" s="238"/>
      <c r="K1693" s="238"/>
      <c r="L1693" s="238"/>
      <c r="M1693" s="238"/>
      <c r="N1693" s="238"/>
      <c r="O1693" s="238"/>
      <c r="P1693" s="238">
        <f>P1694</f>
        <v>5036900</v>
      </c>
      <c r="Q1693" s="238">
        <f t="shared" si="1442"/>
        <v>5063255.07</v>
      </c>
      <c r="R1693" s="238">
        <f t="shared" si="1442"/>
        <v>5089927.62</v>
      </c>
      <c r="S1693" s="238">
        <f t="shared" si="1442"/>
        <v>0</v>
      </c>
      <c r="T1693" s="238">
        <f t="shared" si="1442"/>
        <v>0</v>
      </c>
      <c r="U1693" s="238">
        <f t="shared" si="1442"/>
        <v>0</v>
      </c>
      <c r="V1693" s="238">
        <f t="shared" si="1443"/>
        <v>5036900</v>
      </c>
      <c r="W1693" s="238">
        <f t="shared" si="1443"/>
        <v>5063255.07</v>
      </c>
      <c r="X1693" s="238">
        <f t="shared" si="1440"/>
        <v>5089927.62</v>
      </c>
    </row>
    <row r="1694" spans="1:24" s="229" customFormat="1" ht="38.25" hidden="1">
      <c r="A1694" s="271" t="s">
        <v>375</v>
      </c>
      <c r="B1694" s="227" t="s">
        <v>402</v>
      </c>
      <c r="C1694" s="227" t="s">
        <v>16</v>
      </c>
      <c r="D1694" s="227" t="s">
        <v>27</v>
      </c>
      <c r="E1694" s="227" t="s">
        <v>18</v>
      </c>
      <c r="F1694" s="227" t="s">
        <v>70</v>
      </c>
      <c r="G1694" s="227" t="s">
        <v>148</v>
      </c>
      <c r="H1694" s="267" t="s">
        <v>347</v>
      </c>
      <c r="I1694" s="237"/>
      <c r="J1694" s="238"/>
      <c r="K1694" s="238"/>
      <c r="L1694" s="238"/>
      <c r="M1694" s="238"/>
      <c r="N1694" s="238"/>
      <c r="O1694" s="238"/>
      <c r="P1694" s="238">
        <f>P1695+P1697+P1699</f>
        <v>5036900</v>
      </c>
      <c r="Q1694" s="238">
        <f t="shared" ref="Q1694:U1694" si="1444">Q1695+Q1697+Q1699</f>
        <v>5063255.07</v>
      </c>
      <c r="R1694" s="238">
        <f t="shared" si="1444"/>
        <v>5089927.62</v>
      </c>
      <c r="S1694" s="238">
        <f t="shared" si="1444"/>
        <v>0</v>
      </c>
      <c r="T1694" s="238">
        <f t="shared" si="1444"/>
        <v>0</v>
      </c>
      <c r="U1694" s="238">
        <f t="shared" si="1444"/>
        <v>0</v>
      </c>
      <c r="V1694" s="238">
        <f t="shared" si="1443"/>
        <v>5036900</v>
      </c>
      <c r="W1694" s="238">
        <f t="shared" si="1443"/>
        <v>5063255.07</v>
      </c>
      <c r="X1694" s="238">
        <f t="shared" si="1440"/>
        <v>5089927.62</v>
      </c>
    </row>
    <row r="1695" spans="1:24" s="229" customFormat="1" ht="38.25" hidden="1">
      <c r="A1695" s="239" t="s">
        <v>96</v>
      </c>
      <c r="B1695" s="227" t="s">
        <v>402</v>
      </c>
      <c r="C1695" s="227" t="s">
        <v>16</v>
      </c>
      <c r="D1695" s="227" t="s">
        <v>27</v>
      </c>
      <c r="E1695" s="227" t="s">
        <v>18</v>
      </c>
      <c r="F1695" s="227" t="s">
        <v>70</v>
      </c>
      <c r="G1695" s="227" t="s">
        <v>148</v>
      </c>
      <c r="H1695" s="267" t="s">
        <v>347</v>
      </c>
      <c r="I1695" s="237" t="s">
        <v>92</v>
      </c>
      <c r="J1695" s="238"/>
      <c r="K1695" s="238"/>
      <c r="L1695" s="238"/>
      <c r="M1695" s="238"/>
      <c r="N1695" s="238"/>
      <c r="O1695" s="238"/>
      <c r="P1695" s="238">
        <f>P1696</f>
        <v>2690900</v>
      </c>
      <c r="Q1695" s="238">
        <f t="shared" ref="Q1695:U1695" si="1445">Q1696</f>
        <v>2717255.07</v>
      </c>
      <c r="R1695" s="238">
        <f t="shared" si="1445"/>
        <v>2743927.62</v>
      </c>
      <c r="S1695" s="238">
        <f t="shared" si="1445"/>
        <v>0</v>
      </c>
      <c r="T1695" s="238">
        <f t="shared" si="1445"/>
        <v>0</v>
      </c>
      <c r="U1695" s="238">
        <f t="shared" si="1445"/>
        <v>0</v>
      </c>
      <c r="V1695" s="238">
        <f t="shared" si="1443"/>
        <v>2690900</v>
      </c>
      <c r="W1695" s="238">
        <f t="shared" si="1443"/>
        <v>2717255.07</v>
      </c>
      <c r="X1695" s="238">
        <f t="shared" si="1440"/>
        <v>2743927.62</v>
      </c>
    </row>
    <row r="1696" spans="1:24" s="229" customFormat="1" hidden="1">
      <c r="A1696" s="239" t="s">
        <v>97</v>
      </c>
      <c r="B1696" s="227" t="s">
        <v>402</v>
      </c>
      <c r="C1696" s="227" t="s">
        <v>16</v>
      </c>
      <c r="D1696" s="227" t="s">
        <v>27</v>
      </c>
      <c r="E1696" s="227" t="s">
        <v>18</v>
      </c>
      <c r="F1696" s="227" t="s">
        <v>70</v>
      </c>
      <c r="G1696" s="227" t="s">
        <v>148</v>
      </c>
      <c r="H1696" s="267" t="s">
        <v>347</v>
      </c>
      <c r="I1696" s="237" t="s">
        <v>93</v>
      </c>
      <c r="J1696" s="238"/>
      <c r="K1696" s="238"/>
      <c r="L1696" s="238"/>
      <c r="M1696" s="238"/>
      <c r="N1696" s="238"/>
      <c r="O1696" s="238"/>
      <c r="P1696" s="238">
        <v>2690900</v>
      </c>
      <c r="Q1696" s="238">
        <v>2717255.07</v>
      </c>
      <c r="R1696" s="238">
        <v>2743927.62</v>
      </c>
      <c r="S1696" s="238"/>
      <c r="T1696" s="238"/>
      <c r="U1696" s="238"/>
      <c r="V1696" s="238">
        <f t="shared" si="1443"/>
        <v>2690900</v>
      </c>
      <c r="W1696" s="238">
        <f t="shared" si="1443"/>
        <v>2717255.07</v>
      </c>
      <c r="X1696" s="238">
        <f t="shared" si="1440"/>
        <v>2743927.62</v>
      </c>
    </row>
    <row r="1697" spans="1:24" s="229" customFormat="1" ht="25.5" hidden="1">
      <c r="A1697" s="240" t="s">
        <v>260</v>
      </c>
      <c r="B1697" s="227" t="s">
        <v>402</v>
      </c>
      <c r="C1697" s="227" t="s">
        <v>16</v>
      </c>
      <c r="D1697" s="227" t="s">
        <v>27</v>
      </c>
      <c r="E1697" s="227" t="s">
        <v>18</v>
      </c>
      <c r="F1697" s="227" t="s">
        <v>70</v>
      </c>
      <c r="G1697" s="227" t="s">
        <v>148</v>
      </c>
      <c r="H1697" s="267" t="s">
        <v>347</v>
      </c>
      <c r="I1697" s="237" t="s">
        <v>94</v>
      </c>
      <c r="J1697" s="238"/>
      <c r="K1697" s="238"/>
      <c r="L1697" s="238"/>
      <c r="M1697" s="238"/>
      <c r="N1697" s="238"/>
      <c r="O1697" s="238"/>
      <c r="P1697" s="238">
        <f>P1698</f>
        <v>2300000</v>
      </c>
      <c r="Q1697" s="238">
        <f t="shared" ref="Q1697:U1697" si="1446">Q1698</f>
        <v>2300000</v>
      </c>
      <c r="R1697" s="238">
        <f t="shared" si="1446"/>
        <v>2300000</v>
      </c>
      <c r="S1697" s="238">
        <f t="shared" si="1446"/>
        <v>0</v>
      </c>
      <c r="T1697" s="238">
        <f t="shared" si="1446"/>
        <v>0</v>
      </c>
      <c r="U1697" s="238">
        <f t="shared" si="1446"/>
        <v>0</v>
      </c>
      <c r="V1697" s="238">
        <f t="shared" si="1443"/>
        <v>2300000</v>
      </c>
      <c r="W1697" s="238">
        <f t="shared" si="1443"/>
        <v>2300000</v>
      </c>
      <c r="X1697" s="238">
        <f t="shared" si="1440"/>
        <v>2300000</v>
      </c>
    </row>
    <row r="1698" spans="1:24" s="229" customFormat="1" ht="25.5" hidden="1">
      <c r="A1698" s="239" t="s">
        <v>98</v>
      </c>
      <c r="B1698" s="227" t="s">
        <v>402</v>
      </c>
      <c r="C1698" s="227" t="s">
        <v>16</v>
      </c>
      <c r="D1698" s="227" t="s">
        <v>27</v>
      </c>
      <c r="E1698" s="227" t="s">
        <v>18</v>
      </c>
      <c r="F1698" s="227" t="s">
        <v>70</v>
      </c>
      <c r="G1698" s="227" t="s">
        <v>148</v>
      </c>
      <c r="H1698" s="267" t="s">
        <v>347</v>
      </c>
      <c r="I1698" s="237" t="s">
        <v>95</v>
      </c>
      <c r="J1698" s="238"/>
      <c r="K1698" s="238"/>
      <c r="L1698" s="238"/>
      <c r="M1698" s="238"/>
      <c r="N1698" s="238"/>
      <c r="O1698" s="238"/>
      <c r="P1698" s="238">
        <v>2300000</v>
      </c>
      <c r="Q1698" s="238">
        <v>2300000</v>
      </c>
      <c r="R1698" s="238">
        <v>2300000</v>
      </c>
      <c r="S1698" s="238"/>
      <c r="T1698" s="238"/>
      <c r="U1698" s="238"/>
      <c r="V1698" s="238">
        <f t="shared" si="1443"/>
        <v>2300000</v>
      </c>
      <c r="W1698" s="238">
        <f t="shared" si="1443"/>
        <v>2300000</v>
      </c>
      <c r="X1698" s="238">
        <f t="shared" si="1440"/>
        <v>2300000</v>
      </c>
    </row>
    <row r="1699" spans="1:24" s="229" customFormat="1" hidden="1">
      <c r="A1699" s="239" t="s">
        <v>80</v>
      </c>
      <c r="B1699" s="227" t="s">
        <v>402</v>
      </c>
      <c r="C1699" s="227" t="s">
        <v>16</v>
      </c>
      <c r="D1699" s="227" t="s">
        <v>27</v>
      </c>
      <c r="E1699" s="227" t="s">
        <v>18</v>
      </c>
      <c r="F1699" s="227" t="s">
        <v>70</v>
      </c>
      <c r="G1699" s="227" t="s">
        <v>148</v>
      </c>
      <c r="H1699" s="267" t="s">
        <v>347</v>
      </c>
      <c r="I1699" s="237" t="s">
        <v>77</v>
      </c>
      <c r="J1699" s="238"/>
      <c r="K1699" s="238"/>
      <c r="L1699" s="238"/>
      <c r="M1699" s="238"/>
      <c r="N1699" s="238"/>
      <c r="O1699" s="238"/>
      <c r="P1699" s="238">
        <f>P1700</f>
        <v>46000</v>
      </c>
      <c r="Q1699" s="238">
        <f t="shared" ref="Q1699:U1699" si="1447">Q1700</f>
        <v>46000</v>
      </c>
      <c r="R1699" s="238">
        <f t="shared" si="1447"/>
        <v>46000</v>
      </c>
      <c r="S1699" s="238">
        <f t="shared" si="1447"/>
        <v>0</v>
      </c>
      <c r="T1699" s="238">
        <f t="shared" si="1447"/>
        <v>0</v>
      </c>
      <c r="U1699" s="238">
        <f t="shared" si="1447"/>
        <v>0</v>
      </c>
      <c r="V1699" s="238">
        <f t="shared" si="1443"/>
        <v>46000</v>
      </c>
      <c r="W1699" s="238">
        <f t="shared" si="1443"/>
        <v>46000</v>
      </c>
      <c r="X1699" s="238">
        <f t="shared" si="1440"/>
        <v>46000</v>
      </c>
    </row>
    <row r="1700" spans="1:24" s="229" customFormat="1" hidden="1">
      <c r="A1700" s="241" t="s">
        <v>125</v>
      </c>
      <c r="B1700" s="227" t="s">
        <v>402</v>
      </c>
      <c r="C1700" s="227" t="s">
        <v>16</v>
      </c>
      <c r="D1700" s="227" t="s">
        <v>27</v>
      </c>
      <c r="E1700" s="227" t="s">
        <v>18</v>
      </c>
      <c r="F1700" s="227" t="s">
        <v>70</v>
      </c>
      <c r="G1700" s="227" t="s">
        <v>148</v>
      </c>
      <c r="H1700" s="267" t="s">
        <v>347</v>
      </c>
      <c r="I1700" s="237" t="s">
        <v>124</v>
      </c>
      <c r="J1700" s="238"/>
      <c r="K1700" s="238"/>
      <c r="L1700" s="238"/>
      <c r="M1700" s="238"/>
      <c r="N1700" s="238"/>
      <c r="O1700" s="238"/>
      <c r="P1700" s="238">
        <v>46000</v>
      </c>
      <c r="Q1700" s="238">
        <v>46000</v>
      </c>
      <c r="R1700" s="238">
        <v>46000</v>
      </c>
      <c r="S1700" s="238"/>
      <c r="T1700" s="238"/>
      <c r="U1700" s="238"/>
      <c r="V1700" s="238">
        <f t="shared" si="1443"/>
        <v>46000</v>
      </c>
      <c r="W1700" s="238">
        <f t="shared" si="1443"/>
        <v>46000</v>
      </c>
      <c r="X1700" s="238">
        <f t="shared" si="1440"/>
        <v>46000</v>
      </c>
    </row>
    <row r="1701" spans="1:24" s="229" customFormat="1" hidden="1">
      <c r="A1701" s="230" t="s">
        <v>60</v>
      </c>
      <c r="B1701" s="231" t="s">
        <v>402</v>
      </c>
      <c r="C1701" s="231" t="s">
        <v>16</v>
      </c>
      <c r="D1701" s="231" t="s">
        <v>14</v>
      </c>
      <c r="E1701" s="231"/>
      <c r="F1701" s="231"/>
      <c r="G1701" s="231"/>
      <c r="H1701" s="227"/>
      <c r="I1701" s="237"/>
      <c r="J1701" s="234"/>
      <c r="K1701" s="234"/>
      <c r="L1701" s="234"/>
      <c r="M1701" s="234"/>
      <c r="N1701" s="234"/>
      <c r="O1701" s="234"/>
      <c r="P1701" s="234">
        <f>P1702+P1710</f>
        <v>2086231.68</v>
      </c>
      <c r="Q1701" s="234">
        <f t="shared" ref="Q1701:U1701" si="1448">Q1702+Q1710</f>
        <v>1874149.69</v>
      </c>
      <c r="R1701" s="234">
        <f t="shared" si="1448"/>
        <v>1883149.6800000002</v>
      </c>
      <c r="S1701" s="234">
        <f t="shared" si="1448"/>
        <v>300000</v>
      </c>
      <c r="T1701" s="234">
        <f t="shared" si="1448"/>
        <v>0</v>
      </c>
      <c r="U1701" s="234">
        <f t="shared" si="1448"/>
        <v>0</v>
      </c>
      <c r="V1701" s="234">
        <f t="shared" si="1443"/>
        <v>2386231.6799999997</v>
      </c>
      <c r="W1701" s="234">
        <f t="shared" si="1443"/>
        <v>1874149.69</v>
      </c>
      <c r="X1701" s="234">
        <f t="shared" si="1440"/>
        <v>1883149.6800000002</v>
      </c>
    </row>
    <row r="1702" spans="1:24" s="229" customFormat="1" ht="38.25" hidden="1">
      <c r="A1702" s="235" t="s">
        <v>396</v>
      </c>
      <c r="B1702" s="227" t="s">
        <v>402</v>
      </c>
      <c r="C1702" s="227" t="s">
        <v>16</v>
      </c>
      <c r="D1702" s="227" t="s">
        <v>14</v>
      </c>
      <c r="E1702" s="227" t="s">
        <v>18</v>
      </c>
      <c r="F1702" s="227" t="s">
        <v>70</v>
      </c>
      <c r="G1702" s="227" t="s">
        <v>148</v>
      </c>
      <c r="H1702" s="267" t="s">
        <v>149</v>
      </c>
      <c r="I1702" s="237"/>
      <c r="J1702" s="238"/>
      <c r="K1702" s="238"/>
      <c r="L1702" s="238"/>
      <c r="M1702" s="238"/>
      <c r="N1702" s="238"/>
      <c r="O1702" s="238"/>
      <c r="P1702" s="238">
        <f>P1703</f>
        <v>1875250</v>
      </c>
      <c r="Q1702" s="238">
        <f t="shared" ref="Q1702:U1702" si="1449">Q1703</f>
        <v>1874149.69</v>
      </c>
      <c r="R1702" s="238">
        <f t="shared" si="1449"/>
        <v>1883149.6800000002</v>
      </c>
      <c r="S1702" s="238">
        <f t="shared" si="1449"/>
        <v>300000</v>
      </c>
      <c r="T1702" s="238">
        <f t="shared" si="1449"/>
        <v>0</v>
      </c>
      <c r="U1702" s="238">
        <f t="shared" si="1449"/>
        <v>0</v>
      </c>
      <c r="V1702" s="238">
        <f t="shared" si="1443"/>
        <v>2175250</v>
      </c>
      <c r="W1702" s="238">
        <f t="shared" si="1443"/>
        <v>1874149.69</v>
      </c>
      <c r="X1702" s="238">
        <f t="shared" si="1443"/>
        <v>1883149.6800000002</v>
      </c>
    </row>
    <row r="1703" spans="1:24" s="229" customFormat="1" ht="38.25" hidden="1">
      <c r="A1703" s="235" t="s">
        <v>349</v>
      </c>
      <c r="B1703" s="227" t="s">
        <v>402</v>
      </c>
      <c r="C1703" s="227" t="s">
        <v>16</v>
      </c>
      <c r="D1703" s="227" t="s">
        <v>14</v>
      </c>
      <c r="E1703" s="227" t="s">
        <v>18</v>
      </c>
      <c r="F1703" s="227" t="s">
        <v>70</v>
      </c>
      <c r="G1703" s="227" t="s">
        <v>148</v>
      </c>
      <c r="H1703" s="267" t="s">
        <v>348</v>
      </c>
      <c r="I1703" s="237"/>
      <c r="J1703" s="238"/>
      <c r="K1703" s="238"/>
      <c r="L1703" s="238"/>
      <c r="M1703" s="238"/>
      <c r="N1703" s="238"/>
      <c r="O1703" s="238"/>
      <c r="P1703" s="238">
        <f>P1704+P1706+P1708</f>
        <v>1875250</v>
      </c>
      <c r="Q1703" s="238">
        <f t="shared" ref="Q1703:U1703" si="1450">Q1704+Q1706+Q1708</f>
        <v>1874149.69</v>
      </c>
      <c r="R1703" s="238">
        <f t="shared" si="1450"/>
        <v>1883149.6800000002</v>
      </c>
      <c r="S1703" s="238">
        <f t="shared" si="1450"/>
        <v>300000</v>
      </c>
      <c r="T1703" s="238">
        <f t="shared" si="1450"/>
        <v>0</v>
      </c>
      <c r="U1703" s="238">
        <f t="shared" si="1450"/>
        <v>0</v>
      </c>
      <c r="V1703" s="238">
        <f t="shared" si="1443"/>
        <v>2175250</v>
      </c>
      <c r="W1703" s="238">
        <f t="shared" si="1443"/>
        <v>1874149.69</v>
      </c>
      <c r="X1703" s="238">
        <f t="shared" si="1443"/>
        <v>1883149.6800000002</v>
      </c>
    </row>
    <row r="1704" spans="1:24" s="229" customFormat="1" ht="38.25" hidden="1">
      <c r="A1704" s="239" t="s">
        <v>96</v>
      </c>
      <c r="B1704" s="227" t="s">
        <v>402</v>
      </c>
      <c r="C1704" s="227" t="s">
        <v>16</v>
      </c>
      <c r="D1704" s="227" t="s">
        <v>14</v>
      </c>
      <c r="E1704" s="227" t="s">
        <v>18</v>
      </c>
      <c r="F1704" s="227" t="s">
        <v>70</v>
      </c>
      <c r="G1704" s="227" t="s">
        <v>148</v>
      </c>
      <c r="H1704" s="267" t="s">
        <v>348</v>
      </c>
      <c r="I1704" s="237" t="s">
        <v>92</v>
      </c>
      <c r="J1704" s="238"/>
      <c r="K1704" s="238"/>
      <c r="L1704" s="238"/>
      <c r="M1704" s="238"/>
      <c r="N1704" s="238"/>
      <c r="O1704" s="238"/>
      <c r="P1704" s="238">
        <f>P1705</f>
        <v>911100</v>
      </c>
      <c r="Q1704" s="238">
        <f t="shared" ref="Q1704:U1704" si="1451">Q1705</f>
        <v>919999.69</v>
      </c>
      <c r="R1704" s="238">
        <f t="shared" si="1451"/>
        <v>928999.68</v>
      </c>
      <c r="S1704" s="238">
        <f t="shared" si="1451"/>
        <v>0</v>
      </c>
      <c r="T1704" s="238">
        <f t="shared" si="1451"/>
        <v>0</v>
      </c>
      <c r="U1704" s="238">
        <f t="shared" si="1451"/>
        <v>0</v>
      </c>
      <c r="V1704" s="238">
        <f t="shared" si="1443"/>
        <v>911100</v>
      </c>
      <c r="W1704" s="238">
        <f t="shared" si="1443"/>
        <v>919999.69</v>
      </c>
      <c r="X1704" s="238">
        <f t="shared" si="1443"/>
        <v>928999.68</v>
      </c>
    </row>
    <row r="1705" spans="1:24" s="229" customFormat="1" hidden="1">
      <c r="A1705" s="239" t="s">
        <v>97</v>
      </c>
      <c r="B1705" s="227" t="s">
        <v>402</v>
      </c>
      <c r="C1705" s="227" t="s">
        <v>16</v>
      </c>
      <c r="D1705" s="227" t="s">
        <v>14</v>
      </c>
      <c r="E1705" s="227" t="s">
        <v>18</v>
      </c>
      <c r="F1705" s="227" t="s">
        <v>70</v>
      </c>
      <c r="G1705" s="227" t="s">
        <v>148</v>
      </c>
      <c r="H1705" s="267" t="s">
        <v>348</v>
      </c>
      <c r="I1705" s="237" t="s">
        <v>93</v>
      </c>
      <c r="J1705" s="238"/>
      <c r="K1705" s="238"/>
      <c r="L1705" s="238"/>
      <c r="M1705" s="238"/>
      <c r="N1705" s="238"/>
      <c r="O1705" s="238"/>
      <c r="P1705" s="238">
        <v>911100</v>
      </c>
      <c r="Q1705" s="238">
        <v>919999.69</v>
      </c>
      <c r="R1705" s="238">
        <v>928999.68</v>
      </c>
      <c r="S1705" s="238"/>
      <c r="T1705" s="238"/>
      <c r="U1705" s="238"/>
      <c r="V1705" s="238">
        <f t="shared" si="1443"/>
        <v>911100</v>
      </c>
      <c r="W1705" s="238">
        <f t="shared" si="1443"/>
        <v>919999.69</v>
      </c>
      <c r="X1705" s="238">
        <f t="shared" si="1443"/>
        <v>928999.68</v>
      </c>
    </row>
    <row r="1706" spans="1:24" s="229" customFormat="1" ht="25.5" hidden="1">
      <c r="A1706" s="240" t="s">
        <v>260</v>
      </c>
      <c r="B1706" s="227" t="s">
        <v>402</v>
      </c>
      <c r="C1706" s="227" t="s">
        <v>16</v>
      </c>
      <c r="D1706" s="227" t="s">
        <v>14</v>
      </c>
      <c r="E1706" s="227" t="s">
        <v>18</v>
      </c>
      <c r="F1706" s="227" t="s">
        <v>70</v>
      </c>
      <c r="G1706" s="227" t="s">
        <v>148</v>
      </c>
      <c r="H1706" s="267" t="s">
        <v>348</v>
      </c>
      <c r="I1706" s="237" t="s">
        <v>94</v>
      </c>
      <c r="J1706" s="238"/>
      <c r="K1706" s="238"/>
      <c r="L1706" s="238"/>
      <c r="M1706" s="238"/>
      <c r="N1706" s="238"/>
      <c r="O1706" s="238"/>
      <c r="P1706" s="238">
        <f>P1707</f>
        <v>954150</v>
      </c>
      <c r="Q1706" s="238">
        <f t="shared" ref="Q1706:U1706" si="1452">Q1707</f>
        <v>954150</v>
      </c>
      <c r="R1706" s="238">
        <f t="shared" si="1452"/>
        <v>954150</v>
      </c>
      <c r="S1706" s="238">
        <f t="shared" si="1452"/>
        <v>300000</v>
      </c>
      <c r="T1706" s="238">
        <f t="shared" si="1452"/>
        <v>0</v>
      </c>
      <c r="U1706" s="238">
        <f t="shared" si="1452"/>
        <v>0</v>
      </c>
      <c r="V1706" s="238">
        <f t="shared" si="1443"/>
        <v>1254150</v>
      </c>
      <c r="W1706" s="238">
        <f t="shared" si="1443"/>
        <v>954150</v>
      </c>
      <c r="X1706" s="238">
        <f t="shared" si="1443"/>
        <v>954150</v>
      </c>
    </row>
    <row r="1707" spans="1:24" s="229" customFormat="1" ht="25.5" hidden="1">
      <c r="A1707" s="239" t="s">
        <v>98</v>
      </c>
      <c r="B1707" s="227" t="s">
        <v>402</v>
      </c>
      <c r="C1707" s="227" t="s">
        <v>16</v>
      </c>
      <c r="D1707" s="227" t="s">
        <v>14</v>
      </c>
      <c r="E1707" s="227" t="s">
        <v>18</v>
      </c>
      <c r="F1707" s="227" t="s">
        <v>70</v>
      </c>
      <c r="G1707" s="227" t="s">
        <v>148</v>
      </c>
      <c r="H1707" s="267" t="s">
        <v>348</v>
      </c>
      <c r="I1707" s="237" t="s">
        <v>95</v>
      </c>
      <c r="J1707" s="238"/>
      <c r="K1707" s="238"/>
      <c r="L1707" s="238"/>
      <c r="M1707" s="238"/>
      <c r="N1707" s="238"/>
      <c r="O1707" s="238"/>
      <c r="P1707" s="238">
        <v>954150</v>
      </c>
      <c r="Q1707" s="238">
        <v>954150</v>
      </c>
      <c r="R1707" s="238">
        <v>954150</v>
      </c>
      <c r="S1707" s="238">
        <v>300000</v>
      </c>
      <c r="T1707" s="238"/>
      <c r="U1707" s="238"/>
      <c r="V1707" s="238">
        <f t="shared" si="1443"/>
        <v>1254150</v>
      </c>
      <c r="W1707" s="238">
        <f t="shared" si="1443"/>
        <v>954150</v>
      </c>
      <c r="X1707" s="238">
        <f t="shared" si="1443"/>
        <v>954150</v>
      </c>
    </row>
    <row r="1708" spans="1:24" s="229" customFormat="1" hidden="1">
      <c r="A1708" s="239" t="s">
        <v>80</v>
      </c>
      <c r="B1708" s="227" t="s">
        <v>402</v>
      </c>
      <c r="C1708" s="227" t="s">
        <v>16</v>
      </c>
      <c r="D1708" s="227" t="s">
        <v>14</v>
      </c>
      <c r="E1708" s="227" t="s">
        <v>18</v>
      </c>
      <c r="F1708" s="227" t="s">
        <v>70</v>
      </c>
      <c r="G1708" s="227" t="s">
        <v>148</v>
      </c>
      <c r="H1708" s="267" t="s">
        <v>348</v>
      </c>
      <c r="I1708" s="237" t="s">
        <v>77</v>
      </c>
      <c r="J1708" s="238"/>
      <c r="K1708" s="238"/>
      <c r="L1708" s="238"/>
      <c r="M1708" s="238"/>
      <c r="N1708" s="238"/>
      <c r="O1708" s="238"/>
      <c r="P1708" s="238">
        <f>P1709</f>
        <v>10000</v>
      </c>
      <c r="Q1708" s="238">
        <f t="shared" ref="Q1708:U1708" si="1453">Q1709</f>
        <v>0</v>
      </c>
      <c r="R1708" s="238">
        <f t="shared" si="1453"/>
        <v>0</v>
      </c>
      <c r="S1708" s="238">
        <f t="shared" si="1453"/>
        <v>0</v>
      </c>
      <c r="T1708" s="238">
        <f t="shared" si="1453"/>
        <v>0</v>
      </c>
      <c r="U1708" s="238">
        <f t="shared" si="1453"/>
        <v>0</v>
      </c>
      <c r="V1708" s="238">
        <f t="shared" ref="V1708:X1723" si="1454">P1708+S1708</f>
        <v>10000</v>
      </c>
      <c r="W1708" s="238">
        <f t="shared" si="1454"/>
        <v>0</v>
      </c>
      <c r="X1708" s="238">
        <f t="shared" si="1454"/>
        <v>0</v>
      </c>
    </row>
    <row r="1709" spans="1:24" s="229" customFormat="1" hidden="1">
      <c r="A1709" s="241" t="s">
        <v>125</v>
      </c>
      <c r="B1709" s="227" t="s">
        <v>402</v>
      </c>
      <c r="C1709" s="227" t="s">
        <v>16</v>
      </c>
      <c r="D1709" s="227" t="s">
        <v>14</v>
      </c>
      <c r="E1709" s="227" t="s">
        <v>18</v>
      </c>
      <c r="F1709" s="227" t="s">
        <v>70</v>
      </c>
      <c r="G1709" s="227" t="s">
        <v>148</v>
      </c>
      <c r="H1709" s="267" t="s">
        <v>348</v>
      </c>
      <c r="I1709" s="237" t="s">
        <v>124</v>
      </c>
      <c r="J1709" s="238"/>
      <c r="K1709" s="238"/>
      <c r="L1709" s="238"/>
      <c r="M1709" s="238"/>
      <c r="N1709" s="238"/>
      <c r="O1709" s="238"/>
      <c r="P1709" s="238">
        <v>10000</v>
      </c>
      <c r="Q1709" s="238">
        <v>0</v>
      </c>
      <c r="R1709" s="238">
        <v>0</v>
      </c>
      <c r="S1709" s="238"/>
      <c r="T1709" s="238"/>
      <c r="U1709" s="238"/>
      <c r="V1709" s="238">
        <f t="shared" si="1454"/>
        <v>10000</v>
      </c>
      <c r="W1709" s="238">
        <f t="shared" si="1454"/>
        <v>0</v>
      </c>
      <c r="X1709" s="238">
        <f t="shared" si="1454"/>
        <v>0</v>
      </c>
    </row>
    <row r="1710" spans="1:24" s="229" customFormat="1" hidden="1">
      <c r="A1710" s="235" t="s">
        <v>84</v>
      </c>
      <c r="B1710" s="227" t="s">
        <v>402</v>
      </c>
      <c r="C1710" s="227" t="s">
        <v>16</v>
      </c>
      <c r="D1710" s="227" t="s">
        <v>14</v>
      </c>
      <c r="E1710" s="227" t="s">
        <v>82</v>
      </c>
      <c r="F1710" s="227" t="s">
        <v>70</v>
      </c>
      <c r="G1710" s="227" t="s">
        <v>148</v>
      </c>
      <c r="H1710" s="227" t="s">
        <v>149</v>
      </c>
      <c r="I1710" s="237"/>
      <c r="J1710" s="238"/>
      <c r="K1710" s="238"/>
      <c r="L1710" s="238"/>
      <c r="M1710" s="238"/>
      <c r="N1710" s="238"/>
      <c r="O1710" s="238"/>
      <c r="P1710" s="238">
        <f>P1711</f>
        <v>210981.68</v>
      </c>
      <c r="Q1710" s="238">
        <f t="shared" ref="Q1710:U1712" si="1455">Q1711</f>
        <v>0</v>
      </c>
      <c r="R1710" s="238">
        <f t="shared" si="1455"/>
        <v>0</v>
      </c>
      <c r="S1710" s="238">
        <f t="shared" si="1455"/>
        <v>0</v>
      </c>
      <c r="T1710" s="238">
        <f t="shared" si="1455"/>
        <v>0</v>
      </c>
      <c r="U1710" s="238">
        <f t="shared" si="1455"/>
        <v>0</v>
      </c>
      <c r="V1710" s="238">
        <f t="shared" si="1454"/>
        <v>210981.68</v>
      </c>
      <c r="W1710" s="238">
        <f t="shared" si="1454"/>
        <v>0</v>
      </c>
      <c r="X1710" s="238">
        <f t="shared" si="1454"/>
        <v>0</v>
      </c>
    </row>
    <row r="1711" spans="1:24" s="229" customFormat="1" ht="38.25" hidden="1">
      <c r="A1711" s="235" t="s">
        <v>350</v>
      </c>
      <c r="B1711" s="227" t="s">
        <v>402</v>
      </c>
      <c r="C1711" s="227" t="s">
        <v>16</v>
      </c>
      <c r="D1711" s="227" t="s">
        <v>14</v>
      </c>
      <c r="E1711" s="227" t="s">
        <v>82</v>
      </c>
      <c r="F1711" s="227" t="s">
        <v>70</v>
      </c>
      <c r="G1711" s="227" t="s">
        <v>148</v>
      </c>
      <c r="H1711" s="227" t="s">
        <v>179</v>
      </c>
      <c r="I1711" s="237"/>
      <c r="J1711" s="238"/>
      <c r="K1711" s="238"/>
      <c r="L1711" s="238"/>
      <c r="M1711" s="238"/>
      <c r="N1711" s="238"/>
      <c r="O1711" s="238"/>
      <c r="P1711" s="238">
        <f>P1712</f>
        <v>210981.68</v>
      </c>
      <c r="Q1711" s="238">
        <f t="shared" si="1455"/>
        <v>0</v>
      </c>
      <c r="R1711" s="238">
        <f t="shared" si="1455"/>
        <v>0</v>
      </c>
      <c r="S1711" s="238">
        <f t="shared" si="1455"/>
        <v>0</v>
      </c>
      <c r="T1711" s="238">
        <f t="shared" si="1455"/>
        <v>0</v>
      </c>
      <c r="U1711" s="238">
        <f t="shared" si="1455"/>
        <v>0</v>
      </c>
      <c r="V1711" s="238">
        <f t="shared" si="1454"/>
        <v>210981.68</v>
      </c>
      <c r="W1711" s="238">
        <f t="shared" si="1454"/>
        <v>0</v>
      </c>
      <c r="X1711" s="238">
        <f t="shared" si="1454"/>
        <v>0</v>
      </c>
    </row>
    <row r="1712" spans="1:24" s="229" customFormat="1" ht="25.5" hidden="1">
      <c r="A1712" s="240" t="s">
        <v>260</v>
      </c>
      <c r="B1712" s="227" t="s">
        <v>402</v>
      </c>
      <c r="C1712" s="227" t="s">
        <v>16</v>
      </c>
      <c r="D1712" s="227" t="s">
        <v>14</v>
      </c>
      <c r="E1712" s="227" t="s">
        <v>82</v>
      </c>
      <c r="F1712" s="227" t="s">
        <v>70</v>
      </c>
      <c r="G1712" s="227" t="s">
        <v>148</v>
      </c>
      <c r="H1712" s="227" t="s">
        <v>179</v>
      </c>
      <c r="I1712" s="237" t="s">
        <v>94</v>
      </c>
      <c r="J1712" s="238"/>
      <c r="K1712" s="238"/>
      <c r="L1712" s="238"/>
      <c r="M1712" s="238"/>
      <c r="N1712" s="238"/>
      <c r="O1712" s="238"/>
      <c r="P1712" s="238">
        <f>P1713</f>
        <v>210981.68</v>
      </c>
      <c r="Q1712" s="238">
        <f t="shared" si="1455"/>
        <v>0</v>
      </c>
      <c r="R1712" s="238">
        <f t="shared" si="1455"/>
        <v>0</v>
      </c>
      <c r="S1712" s="238">
        <f t="shared" si="1455"/>
        <v>0</v>
      </c>
      <c r="T1712" s="238">
        <f t="shared" si="1455"/>
        <v>0</v>
      </c>
      <c r="U1712" s="238">
        <f t="shared" si="1455"/>
        <v>0</v>
      </c>
      <c r="V1712" s="238">
        <f t="shared" si="1454"/>
        <v>210981.68</v>
      </c>
      <c r="W1712" s="238">
        <f t="shared" si="1454"/>
        <v>0</v>
      </c>
      <c r="X1712" s="238">
        <f t="shared" si="1454"/>
        <v>0</v>
      </c>
    </row>
    <row r="1713" spans="1:24" s="229" customFormat="1" ht="25.5" hidden="1">
      <c r="A1713" s="239" t="s">
        <v>98</v>
      </c>
      <c r="B1713" s="227" t="s">
        <v>402</v>
      </c>
      <c r="C1713" s="227" t="s">
        <v>16</v>
      </c>
      <c r="D1713" s="227" t="s">
        <v>14</v>
      </c>
      <c r="E1713" s="227" t="s">
        <v>82</v>
      </c>
      <c r="F1713" s="227" t="s">
        <v>70</v>
      </c>
      <c r="G1713" s="227" t="s">
        <v>148</v>
      </c>
      <c r="H1713" s="227" t="s">
        <v>179</v>
      </c>
      <c r="I1713" s="237" t="s">
        <v>95</v>
      </c>
      <c r="J1713" s="238"/>
      <c r="K1713" s="238"/>
      <c r="L1713" s="238"/>
      <c r="M1713" s="238"/>
      <c r="N1713" s="238"/>
      <c r="O1713" s="238"/>
      <c r="P1713" s="238">
        <v>210981.68</v>
      </c>
      <c r="Q1713" s="238"/>
      <c r="R1713" s="238"/>
      <c r="S1713" s="238"/>
      <c r="T1713" s="238"/>
      <c r="U1713" s="238"/>
      <c r="V1713" s="238">
        <f t="shared" si="1454"/>
        <v>210981.68</v>
      </c>
      <c r="W1713" s="238">
        <f t="shared" si="1454"/>
        <v>0</v>
      </c>
      <c r="X1713" s="238">
        <f t="shared" si="1454"/>
        <v>0</v>
      </c>
    </row>
    <row r="1714" spans="1:24" s="229" customFormat="1" ht="15.75" hidden="1">
      <c r="A1714" s="273" t="s">
        <v>46</v>
      </c>
      <c r="B1714" s="274" t="s">
        <v>402</v>
      </c>
      <c r="C1714" s="274" t="s">
        <v>18</v>
      </c>
      <c r="D1714" s="274"/>
      <c r="E1714" s="274"/>
      <c r="F1714" s="274"/>
      <c r="G1714" s="274"/>
      <c r="H1714" s="274"/>
      <c r="I1714" s="275"/>
      <c r="J1714" s="228"/>
      <c r="K1714" s="228"/>
      <c r="L1714" s="228"/>
      <c r="M1714" s="228"/>
      <c r="N1714" s="228"/>
      <c r="O1714" s="228"/>
      <c r="P1714" s="228">
        <f>P1715</f>
        <v>11161918.24</v>
      </c>
      <c r="Q1714" s="228">
        <f t="shared" ref="Q1714:U1715" si="1456">Q1715</f>
        <v>12095439.140000001</v>
      </c>
      <c r="R1714" s="228">
        <f t="shared" si="1456"/>
        <v>12247250.550000001</v>
      </c>
      <c r="S1714" s="228">
        <f t="shared" si="1456"/>
        <v>489101.76</v>
      </c>
      <c r="T1714" s="228">
        <f t="shared" si="1456"/>
        <v>0</v>
      </c>
      <c r="U1714" s="228">
        <f t="shared" si="1456"/>
        <v>0</v>
      </c>
      <c r="V1714" s="228">
        <f t="shared" si="1454"/>
        <v>11651020</v>
      </c>
      <c r="W1714" s="228">
        <f t="shared" si="1454"/>
        <v>12095439.140000001</v>
      </c>
      <c r="X1714" s="228">
        <f t="shared" si="1454"/>
        <v>12247250.550000001</v>
      </c>
    </row>
    <row r="1715" spans="1:24" s="255" customFormat="1" hidden="1">
      <c r="A1715" s="278" t="s">
        <v>68</v>
      </c>
      <c r="B1715" s="231" t="s">
        <v>402</v>
      </c>
      <c r="C1715" s="231" t="s">
        <v>18</v>
      </c>
      <c r="D1715" s="231" t="s">
        <v>13</v>
      </c>
      <c r="E1715" s="231"/>
      <c r="F1715" s="231"/>
      <c r="G1715" s="231"/>
      <c r="H1715" s="231"/>
      <c r="I1715" s="242"/>
      <c r="J1715" s="234"/>
      <c r="K1715" s="234"/>
      <c r="L1715" s="234"/>
      <c r="M1715" s="234"/>
      <c r="N1715" s="234"/>
      <c r="O1715" s="234"/>
      <c r="P1715" s="234">
        <f>P1716</f>
        <v>11161918.24</v>
      </c>
      <c r="Q1715" s="234">
        <f t="shared" si="1456"/>
        <v>12095439.140000001</v>
      </c>
      <c r="R1715" s="234">
        <f t="shared" si="1456"/>
        <v>12247250.550000001</v>
      </c>
      <c r="S1715" s="234">
        <f t="shared" si="1456"/>
        <v>489101.76</v>
      </c>
      <c r="T1715" s="234">
        <f t="shared" si="1456"/>
        <v>0</v>
      </c>
      <c r="U1715" s="234">
        <f t="shared" si="1456"/>
        <v>0</v>
      </c>
      <c r="V1715" s="234">
        <f t="shared" si="1454"/>
        <v>11651020</v>
      </c>
      <c r="W1715" s="234">
        <f t="shared" si="1454"/>
        <v>12095439.140000001</v>
      </c>
      <c r="X1715" s="234">
        <f t="shared" si="1454"/>
        <v>12247250.550000001</v>
      </c>
    </row>
    <row r="1716" spans="1:24" s="229" customFormat="1" hidden="1">
      <c r="A1716" s="235" t="s">
        <v>83</v>
      </c>
      <c r="B1716" s="227" t="s">
        <v>402</v>
      </c>
      <c r="C1716" s="227" t="s">
        <v>18</v>
      </c>
      <c r="D1716" s="227" t="s">
        <v>13</v>
      </c>
      <c r="E1716" s="227" t="s">
        <v>82</v>
      </c>
      <c r="F1716" s="227" t="s">
        <v>70</v>
      </c>
      <c r="G1716" s="227" t="s">
        <v>148</v>
      </c>
      <c r="H1716" s="227" t="s">
        <v>149</v>
      </c>
      <c r="I1716" s="237"/>
      <c r="J1716" s="238"/>
      <c r="K1716" s="238"/>
      <c r="L1716" s="238"/>
      <c r="M1716" s="238"/>
      <c r="N1716" s="238"/>
      <c r="O1716" s="238"/>
      <c r="P1716" s="238">
        <f>P1717+P1720</f>
        <v>11161918.24</v>
      </c>
      <c r="Q1716" s="238">
        <f t="shared" ref="Q1716:U1716" si="1457">Q1717+Q1720</f>
        <v>12095439.140000001</v>
      </c>
      <c r="R1716" s="238">
        <f t="shared" si="1457"/>
        <v>12247250.550000001</v>
      </c>
      <c r="S1716" s="238">
        <f t="shared" si="1457"/>
        <v>489101.76</v>
      </c>
      <c r="T1716" s="238">
        <f t="shared" si="1457"/>
        <v>0</v>
      </c>
      <c r="U1716" s="238">
        <f t="shared" si="1457"/>
        <v>0</v>
      </c>
      <c r="V1716" s="238">
        <f t="shared" si="1454"/>
        <v>11651020</v>
      </c>
      <c r="W1716" s="238">
        <f t="shared" si="1454"/>
        <v>12095439.140000001</v>
      </c>
      <c r="X1716" s="238">
        <f t="shared" si="1454"/>
        <v>12247250.550000001</v>
      </c>
    </row>
    <row r="1717" spans="1:24" s="229" customFormat="1" ht="14.25" hidden="1">
      <c r="A1717" s="283" t="s">
        <v>362</v>
      </c>
      <c r="B1717" s="227" t="s">
        <v>402</v>
      </c>
      <c r="C1717" s="227" t="s">
        <v>18</v>
      </c>
      <c r="D1717" s="227" t="s">
        <v>13</v>
      </c>
      <c r="E1717" s="227" t="s">
        <v>82</v>
      </c>
      <c r="F1717" s="227" t="s">
        <v>70</v>
      </c>
      <c r="G1717" s="227" t="s">
        <v>148</v>
      </c>
      <c r="H1717" s="227" t="s">
        <v>361</v>
      </c>
      <c r="I1717" s="237"/>
      <c r="J1717" s="238"/>
      <c r="K1717" s="238"/>
      <c r="L1717" s="238"/>
      <c r="M1717" s="238"/>
      <c r="N1717" s="238"/>
      <c r="O1717" s="238"/>
      <c r="P1717" s="238">
        <f>P1718</f>
        <v>150000</v>
      </c>
      <c r="Q1717" s="238">
        <f t="shared" ref="Q1717:U1718" si="1458">Q1718</f>
        <v>150000</v>
      </c>
      <c r="R1717" s="238">
        <f t="shared" si="1458"/>
        <v>150000</v>
      </c>
      <c r="S1717" s="238">
        <f t="shared" si="1458"/>
        <v>0</v>
      </c>
      <c r="T1717" s="238">
        <f t="shared" si="1458"/>
        <v>0</v>
      </c>
      <c r="U1717" s="238">
        <f t="shared" si="1458"/>
        <v>0</v>
      </c>
      <c r="V1717" s="238">
        <f t="shared" si="1454"/>
        <v>150000</v>
      </c>
      <c r="W1717" s="238">
        <f t="shared" si="1454"/>
        <v>150000</v>
      </c>
      <c r="X1717" s="238">
        <f t="shared" si="1454"/>
        <v>150000</v>
      </c>
    </row>
    <row r="1718" spans="1:24" s="229" customFormat="1" ht="25.5" hidden="1">
      <c r="A1718" s="240" t="s">
        <v>260</v>
      </c>
      <c r="B1718" s="227" t="s">
        <v>402</v>
      </c>
      <c r="C1718" s="227" t="s">
        <v>18</v>
      </c>
      <c r="D1718" s="227" t="s">
        <v>13</v>
      </c>
      <c r="E1718" s="227" t="s">
        <v>82</v>
      </c>
      <c r="F1718" s="227" t="s">
        <v>70</v>
      </c>
      <c r="G1718" s="227" t="s">
        <v>148</v>
      </c>
      <c r="H1718" s="227" t="s">
        <v>361</v>
      </c>
      <c r="I1718" s="237" t="s">
        <v>94</v>
      </c>
      <c r="J1718" s="238"/>
      <c r="K1718" s="238"/>
      <c r="L1718" s="238"/>
      <c r="M1718" s="238"/>
      <c r="N1718" s="238"/>
      <c r="O1718" s="238"/>
      <c r="P1718" s="238">
        <f>P1719</f>
        <v>150000</v>
      </c>
      <c r="Q1718" s="238">
        <f t="shared" si="1458"/>
        <v>150000</v>
      </c>
      <c r="R1718" s="238">
        <f t="shared" si="1458"/>
        <v>150000</v>
      </c>
      <c r="S1718" s="238">
        <f t="shared" si="1458"/>
        <v>0</v>
      </c>
      <c r="T1718" s="238">
        <f t="shared" si="1458"/>
        <v>0</v>
      </c>
      <c r="U1718" s="238">
        <f t="shared" si="1458"/>
        <v>0</v>
      </c>
      <c r="V1718" s="238">
        <f t="shared" si="1454"/>
        <v>150000</v>
      </c>
      <c r="W1718" s="238">
        <f t="shared" si="1454"/>
        <v>150000</v>
      </c>
      <c r="X1718" s="238">
        <f t="shared" si="1454"/>
        <v>150000</v>
      </c>
    </row>
    <row r="1719" spans="1:24" s="229" customFormat="1" ht="25.5" hidden="1">
      <c r="A1719" s="239" t="s">
        <v>98</v>
      </c>
      <c r="B1719" s="227" t="s">
        <v>402</v>
      </c>
      <c r="C1719" s="227" t="s">
        <v>18</v>
      </c>
      <c r="D1719" s="227" t="s">
        <v>13</v>
      </c>
      <c r="E1719" s="227" t="s">
        <v>82</v>
      </c>
      <c r="F1719" s="227" t="s">
        <v>70</v>
      </c>
      <c r="G1719" s="227" t="s">
        <v>148</v>
      </c>
      <c r="H1719" s="227" t="s">
        <v>361</v>
      </c>
      <c r="I1719" s="237" t="s">
        <v>95</v>
      </c>
      <c r="J1719" s="238"/>
      <c r="K1719" s="238"/>
      <c r="L1719" s="238"/>
      <c r="M1719" s="238"/>
      <c r="N1719" s="238"/>
      <c r="O1719" s="238"/>
      <c r="P1719" s="238">
        <v>150000</v>
      </c>
      <c r="Q1719" s="238">
        <v>150000</v>
      </c>
      <c r="R1719" s="238">
        <v>150000</v>
      </c>
      <c r="S1719" s="238"/>
      <c r="T1719" s="238"/>
      <c r="U1719" s="238"/>
      <c r="V1719" s="238">
        <f t="shared" si="1454"/>
        <v>150000</v>
      </c>
      <c r="W1719" s="238">
        <f t="shared" si="1454"/>
        <v>150000</v>
      </c>
      <c r="X1719" s="238">
        <f t="shared" si="1454"/>
        <v>150000</v>
      </c>
    </row>
    <row r="1720" spans="1:24" s="229" customFormat="1" hidden="1">
      <c r="A1720" s="239" t="s">
        <v>367</v>
      </c>
      <c r="B1720" s="227" t="s">
        <v>402</v>
      </c>
      <c r="C1720" s="227" t="s">
        <v>18</v>
      </c>
      <c r="D1720" s="227" t="s">
        <v>13</v>
      </c>
      <c r="E1720" s="227" t="s">
        <v>82</v>
      </c>
      <c r="F1720" s="227" t="s">
        <v>70</v>
      </c>
      <c r="G1720" s="227" t="s">
        <v>148</v>
      </c>
      <c r="H1720" s="227" t="s">
        <v>360</v>
      </c>
      <c r="I1720" s="237"/>
      <c r="J1720" s="238"/>
      <c r="K1720" s="238"/>
      <c r="L1720" s="238"/>
      <c r="M1720" s="238"/>
      <c r="N1720" s="238"/>
      <c r="O1720" s="238"/>
      <c r="P1720" s="238">
        <f>P1721+P1723+P1725</f>
        <v>11011918.24</v>
      </c>
      <c r="Q1720" s="238">
        <f t="shared" ref="Q1720:U1720" si="1459">Q1721+Q1723+Q1725</f>
        <v>11945439.140000001</v>
      </c>
      <c r="R1720" s="238">
        <f t="shared" si="1459"/>
        <v>12097250.550000001</v>
      </c>
      <c r="S1720" s="238">
        <f t="shared" si="1459"/>
        <v>489101.76</v>
      </c>
      <c r="T1720" s="238">
        <f t="shared" si="1459"/>
        <v>0</v>
      </c>
      <c r="U1720" s="238">
        <f t="shared" si="1459"/>
        <v>0</v>
      </c>
      <c r="V1720" s="238">
        <f t="shared" si="1454"/>
        <v>11501020</v>
      </c>
      <c r="W1720" s="238">
        <f t="shared" si="1454"/>
        <v>11945439.140000001</v>
      </c>
      <c r="X1720" s="238">
        <f t="shared" si="1454"/>
        <v>12097250.550000001</v>
      </c>
    </row>
    <row r="1721" spans="1:24" s="229" customFormat="1" ht="38.25" hidden="1">
      <c r="A1721" s="239" t="s">
        <v>96</v>
      </c>
      <c r="B1721" s="227" t="s">
        <v>402</v>
      </c>
      <c r="C1721" s="227" t="s">
        <v>18</v>
      </c>
      <c r="D1721" s="227" t="s">
        <v>13</v>
      </c>
      <c r="E1721" s="227" t="s">
        <v>82</v>
      </c>
      <c r="F1721" s="227" t="s">
        <v>70</v>
      </c>
      <c r="G1721" s="227" t="s">
        <v>148</v>
      </c>
      <c r="H1721" s="227" t="s">
        <v>360</v>
      </c>
      <c r="I1721" s="237" t="s">
        <v>92</v>
      </c>
      <c r="J1721" s="238"/>
      <c r="K1721" s="238"/>
      <c r="L1721" s="238"/>
      <c r="M1721" s="238"/>
      <c r="N1721" s="238"/>
      <c r="O1721" s="238"/>
      <c r="P1721" s="238">
        <f>P1722</f>
        <v>8601700</v>
      </c>
      <c r="Q1721" s="238">
        <f t="shared" ref="Q1721:U1721" si="1460">Q1722</f>
        <v>8683109.2200000007</v>
      </c>
      <c r="R1721" s="238">
        <f t="shared" si="1460"/>
        <v>8769390.3200000003</v>
      </c>
      <c r="S1721" s="238">
        <f t="shared" si="1460"/>
        <v>0</v>
      </c>
      <c r="T1721" s="238">
        <f t="shared" si="1460"/>
        <v>0</v>
      </c>
      <c r="U1721" s="238">
        <f t="shared" si="1460"/>
        <v>0</v>
      </c>
      <c r="V1721" s="238">
        <f t="shared" si="1454"/>
        <v>8601700</v>
      </c>
      <c r="W1721" s="238">
        <f t="shared" si="1454"/>
        <v>8683109.2200000007</v>
      </c>
      <c r="X1721" s="238">
        <f t="shared" si="1454"/>
        <v>8769390.3200000003</v>
      </c>
    </row>
    <row r="1722" spans="1:24" s="229" customFormat="1" hidden="1">
      <c r="A1722" s="239" t="s">
        <v>97</v>
      </c>
      <c r="B1722" s="227" t="s">
        <v>402</v>
      </c>
      <c r="C1722" s="227" t="s">
        <v>18</v>
      </c>
      <c r="D1722" s="227" t="s">
        <v>13</v>
      </c>
      <c r="E1722" s="227" t="s">
        <v>82</v>
      </c>
      <c r="F1722" s="227" t="s">
        <v>70</v>
      </c>
      <c r="G1722" s="227" t="s">
        <v>148</v>
      </c>
      <c r="H1722" s="227" t="s">
        <v>360</v>
      </c>
      <c r="I1722" s="237" t="s">
        <v>93</v>
      </c>
      <c r="J1722" s="238"/>
      <c r="K1722" s="238"/>
      <c r="L1722" s="238"/>
      <c r="M1722" s="238"/>
      <c r="N1722" s="238"/>
      <c r="O1722" s="238"/>
      <c r="P1722" s="238">
        <v>8601700</v>
      </c>
      <c r="Q1722" s="238">
        <v>8683109.2200000007</v>
      </c>
      <c r="R1722" s="238">
        <v>8769390.3200000003</v>
      </c>
      <c r="S1722" s="238"/>
      <c r="T1722" s="238"/>
      <c r="U1722" s="238"/>
      <c r="V1722" s="238">
        <f t="shared" si="1454"/>
        <v>8601700</v>
      </c>
      <c r="W1722" s="238">
        <f t="shared" si="1454"/>
        <v>8683109.2200000007</v>
      </c>
      <c r="X1722" s="238">
        <f t="shared" si="1454"/>
        <v>8769390.3200000003</v>
      </c>
    </row>
    <row r="1723" spans="1:24" s="229" customFormat="1" ht="25.5" hidden="1">
      <c r="A1723" s="240" t="s">
        <v>260</v>
      </c>
      <c r="B1723" s="227" t="s">
        <v>402</v>
      </c>
      <c r="C1723" s="227" t="s">
        <v>18</v>
      </c>
      <c r="D1723" s="227" t="s">
        <v>13</v>
      </c>
      <c r="E1723" s="227" t="s">
        <v>82</v>
      </c>
      <c r="F1723" s="227" t="s">
        <v>70</v>
      </c>
      <c r="G1723" s="227" t="s">
        <v>148</v>
      </c>
      <c r="H1723" s="227" t="s">
        <v>360</v>
      </c>
      <c r="I1723" s="237" t="s">
        <v>94</v>
      </c>
      <c r="J1723" s="238"/>
      <c r="K1723" s="238"/>
      <c r="L1723" s="238"/>
      <c r="M1723" s="238"/>
      <c r="N1723" s="238"/>
      <c r="O1723" s="238"/>
      <c r="P1723" s="238">
        <f>P1724</f>
        <v>2387218.2400000002</v>
      </c>
      <c r="Q1723" s="238">
        <f t="shared" ref="Q1723:U1723" si="1461">Q1724</f>
        <v>3239329.92</v>
      </c>
      <c r="R1723" s="238">
        <f t="shared" si="1461"/>
        <v>3304860.23</v>
      </c>
      <c r="S1723" s="238">
        <f t="shared" si="1461"/>
        <v>489101.76</v>
      </c>
      <c r="T1723" s="238">
        <f t="shared" si="1461"/>
        <v>0</v>
      </c>
      <c r="U1723" s="238">
        <f t="shared" si="1461"/>
        <v>0</v>
      </c>
      <c r="V1723" s="238">
        <f t="shared" si="1454"/>
        <v>2876320</v>
      </c>
      <c r="W1723" s="238">
        <f t="shared" si="1454"/>
        <v>3239329.92</v>
      </c>
      <c r="X1723" s="238">
        <f t="shared" si="1454"/>
        <v>3304860.23</v>
      </c>
    </row>
    <row r="1724" spans="1:24" s="229" customFormat="1" ht="25.5" hidden="1">
      <c r="A1724" s="239" t="s">
        <v>98</v>
      </c>
      <c r="B1724" s="227" t="s">
        <v>402</v>
      </c>
      <c r="C1724" s="227" t="s">
        <v>18</v>
      </c>
      <c r="D1724" s="227" t="s">
        <v>13</v>
      </c>
      <c r="E1724" s="227" t="s">
        <v>82</v>
      </c>
      <c r="F1724" s="227" t="s">
        <v>70</v>
      </c>
      <c r="G1724" s="227" t="s">
        <v>148</v>
      </c>
      <c r="H1724" s="227" t="s">
        <v>360</v>
      </c>
      <c r="I1724" s="237" t="s">
        <v>95</v>
      </c>
      <c r="J1724" s="238"/>
      <c r="K1724" s="238"/>
      <c r="L1724" s="238"/>
      <c r="M1724" s="238"/>
      <c r="N1724" s="238"/>
      <c r="O1724" s="238"/>
      <c r="P1724" s="238">
        <f>811970.24+1575248</f>
        <v>2387218.2400000002</v>
      </c>
      <c r="Q1724" s="238">
        <f>1601072+1638257.92</f>
        <v>3239329.92</v>
      </c>
      <c r="R1724" s="238">
        <f>1601072+1703788.23</f>
        <v>3304860.23</v>
      </c>
      <c r="S1724" s="238">
        <f>789101.76-300000</f>
        <v>489101.76</v>
      </c>
      <c r="T1724" s="238"/>
      <c r="U1724" s="238"/>
      <c r="V1724" s="238">
        <f t="shared" ref="V1724:X1726" si="1462">P1724+S1724</f>
        <v>2876320</v>
      </c>
      <c r="W1724" s="238">
        <f t="shared" si="1462"/>
        <v>3239329.92</v>
      </c>
      <c r="X1724" s="238">
        <f t="shared" si="1462"/>
        <v>3304860.23</v>
      </c>
    </row>
    <row r="1725" spans="1:24" s="229" customFormat="1" hidden="1">
      <c r="A1725" s="239" t="s">
        <v>80</v>
      </c>
      <c r="B1725" s="227" t="s">
        <v>402</v>
      </c>
      <c r="C1725" s="227" t="s">
        <v>18</v>
      </c>
      <c r="D1725" s="227" t="s">
        <v>13</v>
      </c>
      <c r="E1725" s="227" t="s">
        <v>82</v>
      </c>
      <c r="F1725" s="227" t="s">
        <v>70</v>
      </c>
      <c r="G1725" s="227" t="s">
        <v>148</v>
      </c>
      <c r="H1725" s="227" t="s">
        <v>360</v>
      </c>
      <c r="I1725" s="237" t="s">
        <v>77</v>
      </c>
      <c r="J1725" s="238"/>
      <c r="K1725" s="238"/>
      <c r="L1725" s="238"/>
      <c r="M1725" s="238"/>
      <c r="N1725" s="238"/>
      <c r="O1725" s="238"/>
      <c r="P1725" s="238">
        <f>P1726</f>
        <v>23000</v>
      </c>
      <c r="Q1725" s="238">
        <f t="shared" ref="Q1725:U1725" si="1463">Q1726</f>
        <v>23000</v>
      </c>
      <c r="R1725" s="238">
        <f t="shared" si="1463"/>
        <v>23000</v>
      </c>
      <c r="S1725" s="238">
        <f t="shared" si="1463"/>
        <v>0</v>
      </c>
      <c r="T1725" s="238">
        <f t="shared" si="1463"/>
        <v>0</v>
      </c>
      <c r="U1725" s="238">
        <f t="shared" si="1463"/>
        <v>0</v>
      </c>
      <c r="V1725" s="238">
        <f t="shared" si="1462"/>
        <v>23000</v>
      </c>
      <c r="W1725" s="238">
        <f t="shared" si="1462"/>
        <v>23000</v>
      </c>
      <c r="X1725" s="238">
        <f t="shared" si="1462"/>
        <v>23000</v>
      </c>
    </row>
    <row r="1726" spans="1:24" s="229" customFormat="1" hidden="1">
      <c r="A1726" s="241" t="s">
        <v>125</v>
      </c>
      <c r="B1726" s="227" t="s">
        <v>402</v>
      </c>
      <c r="C1726" s="227" t="s">
        <v>18</v>
      </c>
      <c r="D1726" s="227" t="s">
        <v>13</v>
      </c>
      <c r="E1726" s="227" t="s">
        <v>82</v>
      </c>
      <c r="F1726" s="227" t="s">
        <v>70</v>
      </c>
      <c r="G1726" s="227" t="s">
        <v>148</v>
      </c>
      <c r="H1726" s="227" t="s">
        <v>360</v>
      </c>
      <c r="I1726" s="237" t="s">
        <v>124</v>
      </c>
      <c r="J1726" s="238"/>
      <c r="K1726" s="238"/>
      <c r="L1726" s="238"/>
      <c r="M1726" s="238"/>
      <c r="N1726" s="238"/>
      <c r="O1726" s="238"/>
      <c r="P1726" s="238">
        <v>23000</v>
      </c>
      <c r="Q1726" s="238">
        <v>23000</v>
      </c>
      <c r="R1726" s="238">
        <v>23000</v>
      </c>
      <c r="S1726" s="238"/>
      <c r="T1726" s="238"/>
      <c r="U1726" s="238"/>
      <c r="V1726" s="238">
        <f t="shared" si="1462"/>
        <v>23000</v>
      </c>
      <c r="W1726" s="238">
        <f t="shared" si="1462"/>
        <v>23000</v>
      </c>
      <c r="X1726" s="238">
        <f t="shared" si="1462"/>
        <v>23000</v>
      </c>
    </row>
    <row r="1727" spans="1:24" hidden="1">
      <c r="A1727" s="89"/>
      <c r="B1727" s="168"/>
      <c r="C1727" s="35"/>
      <c r="D1727" s="35"/>
      <c r="E1727" s="35"/>
      <c r="F1727" s="35"/>
      <c r="G1727" s="35"/>
      <c r="H1727" s="36"/>
      <c r="I1727" s="170"/>
      <c r="J1727" s="81"/>
      <c r="K1727" s="81"/>
      <c r="L1727" s="81"/>
      <c r="M1727" s="81"/>
      <c r="N1727" s="81"/>
      <c r="O1727" s="81"/>
      <c r="P1727" s="81"/>
      <c r="Q1727" s="81"/>
      <c r="R1727" s="81"/>
      <c r="S1727" s="81"/>
      <c r="T1727" s="81"/>
      <c r="U1727" s="81"/>
      <c r="V1727" s="81"/>
      <c r="W1727" s="81"/>
      <c r="X1727" s="81"/>
    </row>
    <row r="1728" spans="1:24" ht="25.5">
      <c r="A1728" s="169" t="s">
        <v>410</v>
      </c>
      <c r="B1728" s="46" t="s">
        <v>404</v>
      </c>
      <c r="C1728" s="90"/>
      <c r="D1728" s="90"/>
      <c r="E1728" s="97"/>
      <c r="F1728" s="90"/>
      <c r="G1728" s="90"/>
      <c r="H1728" s="90"/>
      <c r="I1728" s="42"/>
      <c r="J1728" s="106">
        <f>J1729</f>
        <v>2935867</v>
      </c>
      <c r="K1728" s="106">
        <f t="shared" ref="K1728:O1730" si="1464">K1729</f>
        <v>2962777.96</v>
      </c>
      <c r="L1728" s="106">
        <f t="shared" si="1464"/>
        <v>2989958.74</v>
      </c>
      <c r="M1728" s="106">
        <f t="shared" si="1464"/>
        <v>0</v>
      </c>
      <c r="N1728" s="106">
        <f t="shared" si="1464"/>
        <v>0</v>
      </c>
      <c r="O1728" s="106">
        <f t="shared" si="1464"/>
        <v>0</v>
      </c>
      <c r="P1728" s="106">
        <f t="shared" ref="P1728:P1755" si="1465">J1728+M1728</f>
        <v>2935867</v>
      </c>
      <c r="Q1728" s="106">
        <f t="shared" ref="Q1728:Q1755" si="1466">K1728+N1728</f>
        <v>2962777.96</v>
      </c>
      <c r="R1728" s="106">
        <f t="shared" ref="R1728:R1755" si="1467">L1728+O1728</f>
        <v>2989958.74</v>
      </c>
      <c r="S1728" s="106">
        <f t="shared" ref="S1728:U1730" si="1468">S1729</f>
        <v>0</v>
      </c>
      <c r="T1728" s="106">
        <f t="shared" si="1468"/>
        <v>0</v>
      </c>
      <c r="U1728" s="106">
        <f t="shared" si="1468"/>
        <v>0</v>
      </c>
      <c r="V1728" s="106">
        <f t="shared" ref="V1728:V1741" si="1469">P1728+S1728</f>
        <v>2935867</v>
      </c>
      <c r="W1728" s="106">
        <f t="shared" ref="W1728:W1741" si="1470">Q1728+T1728</f>
        <v>2962777.96</v>
      </c>
      <c r="X1728" s="106">
        <f t="shared" ref="X1728:X1741" si="1471">R1728+U1728</f>
        <v>2989958.74</v>
      </c>
    </row>
    <row r="1729" spans="1:24" ht="15.75">
      <c r="A1729" s="24" t="s">
        <v>32</v>
      </c>
      <c r="B1729" s="25" t="s">
        <v>404</v>
      </c>
      <c r="C1729" s="25" t="s">
        <v>20</v>
      </c>
      <c r="D1729" s="1"/>
      <c r="E1729" s="1"/>
      <c r="F1729" s="1"/>
      <c r="G1729" s="1"/>
      <c r="H1729" s="1"/>
      <c r="I1729" s="1"/>
      <c r="J1729" s="100">
        <f>J1730</f>
        <v>2935867</v>
      </c>
      <c r="K1729" s="100">
        <f t="shared" si="1464"/>
        <v>2962777.96</v>
      </c>
      <c r="L1729" s="100">
        <f t="shared" si="1464"/>
        <v>2989958.74</v>
      </c>
      <c r="M1729" s="100">
        <f t="shared" si="1464"/>
        <v>0</v>
      </c>
      <c r="N1729" s="100">
        <f t="shared" si="1464"/>
        <v>0</v>
      </c>
      <c r="O1729" s="100">
        <f t="shared" si="1464"/>
        <v>0</v>
      </c>
      <c r="P1729" s="100">
        <f t="shared" si="1465"/>
        <v>2935867</v>
      </c>
      <c r="Q1729" s="100">
        <f t="shared" si="1466"/>
        <v>2962777.96</v>
      </c>
      <c r="R1729" s="100">
        <f t="shared" si="1467"/>
        <v>2989958.74</v>
      </c>
      <c r="S1729" s="100">
        <f t="shared" si="1468"/>
        <v>0</v>
      </c>
      <c r="T1729" s="100">
        <f t="shared" si="1468"/>
        <v>0</v>
      </c>
      <c r="U1729" s="100">
        <f t="shared" si="1468"/>
        <v>0</v>
      </c>
      <c r="V1729" s="100">
        <f t="shared" si="1469"/>
        <v>2935867</v>
      </c>
      <c r="W1729" s="100">
        <f t="shared" si="1470"/>
        <v>2962777.96</v>
      </c>
      <c r="X1729" s="100">
        <f t="shared" si="1471"/>
        <v>2989958.74</v>
      </c>
    </row>
    <row r="1730" spans="1:24" ht="38.25">
      <c r="A1730" s="4" t="s">
        <v>33</v>
      </c>
      <c r="B1730" s="14" t="s">
        <v>404</v>
      </c>
      <c r="C1730" s="14" t="s">
        <v>20</v>
      </c>
      <c r="D1730" s="14" t="s">
        <v>13</v>
      </c>
      <c r="E1730" s="14"/>
      <c r="F1730" s="14"/>
      <c r="G1730" s="14"/>
      <c r="H1730" s="1"/>
      <c r="I1730" s="1"/>
      <c r="J1730" s="101">
        <f>J1731</f>
        <v>2935867</v>
      </c>
      <c r="K1730" s="101">
        <f t="shared" si="1464"/>
        <v>2962777.96</v>
      </c>
      <c r="L1730" s="101">
        <f t="shared" si="1464"/>
        <v>2989958.74</v>
      </c>
      <c r="M1730" s="101">
        <f t="shared" si="1464"/>
        <v>0</v>
      </c>
      <c r="N1730" s="101">
        <f t="shared" si="1464"/>
        <v>0</v>
      </c>
      <c r="O1730" s="101">
        <f t="shared" si="1464"/>
        <v>0</v>
      </c>
      <c r="P1730" s="101">
        <f t="shared" si="1465"/>
        <v>2935867</v>
      </c>
      <c r="Q1730" s="101">
        <f t="shared" si="1466"/>
        <v>2962777.96</v>
      </c>
      <c r="R1730" s="101">
        <f t="shared" si="1467"/>
        <v>2989958.74</v>
      </c>
      <c r="S1730" s="101">
        <f t="shared" si="1468"/>
        <v>0</v>
      </c>
      <c r="T1730" s="101">
        <f t="shared" si="1468"/>
        <v>0</v>
      </c>
      <c r="U1730" s="101">
        <f t="shared" si="1468"/>
        <v>0</v>
      </c>
      <c r="V1730" s="101">
        <f t="shared" si="1469"/>
        <v>2935867</v>
      </c>
      <c r="W1730" s="101">
        <f t="shared" si="1470"/>
        <v>2962777.96</v>
      </c>
      <c r="X1730" s="101">
        <f t="shared" si="1471"/>
        <v>2989958.74</v>
      </c>
    </row>
    <row r="1731" spans="1:24">
      <c r="A1731" s="7" t="s">
        <v>83</v>
      </c>
      <c r="B1731" s="1" t="s">
        <v>404</v>
      </c>
      <c r="C1731" s="1" t="s">
        <v>20</v>
      </c>
      <c r="D1731" s="1" t="s">
        <v>13</v>
      </c>
      <c r="E1731" s="1" t="s">
        <v>82</v>
      </c>
      <c r="F1731" s="1" t="s">
        <v>70</v>
      </c>
      <c r="G1731" s="1" t="s">
        <v>148</v>
      </c>
      <c r="H1731" s="1" t="s">
        <v>149</v>
      </c>
      <c r="I1731" s="1"/>
      <c r="J1731" s="81">
        <f>J1732+J1735</f>
        <v>2935867</v>
      </c>
      <c r="K1731" s="81">
        <f t="shared" ref="K1731:L1731" si="1472">K1732+K1735</f>
        <v>2962777.96</v>
      </c>
      <c r="L1731" s="81">
        <f t="shared" si="1472"/>
        <v>2989958.74</v>
      </c>
      <c r="M1731" s="81">
        <f t="shared" ref="M1731:O1731" si="1473">M1732+M1735</f>
        <v>0</v>
      </c>
      <c r="N1731" s="81">
        <f t="shared" si="1473"/>
        <v>0</v>
      </c>
      <c r="O1731" s="81">
        <f t="shared" si="1473"/>
        <v>0</v>
      </c>
      <c r="P1731" s="81">
        <f t="shared" si="1465"/>
        <v>2935867</v>
      </c>
      <c r="Q1731" s="81">
        <f t="shared" si="1466"/>
        <v>2962777.96</v>
      </c>
      <c r="R1731" s="81">
        <f t="shared" si="1467"/>
        <v>2989958.74</v>
      </c>
      <c r="S1731" s="81">
        <f t="shared" ref="S1731:U1731" si="1474">S1732+S1735</f>
        <v>0</v>
      </c>
      <c r="T1731" s="81">
        <f t="shared" si="1474"/>
        <v>0</v>
      </c>
      <c r="U1731" s="81">
        <f t="shared" si="1474"/>
        <v>0</v>
      </c>
      <c r="V1731" s="81">
        <f t="shared" si="1469"/>
        <v>2935867</v>
      </c>
      <c r="W1731" s="81">
        <f t="shared" si="1470"/>
        <v>2962777.96</v>
      </c>
      <c r="X1731" s="81">
        <f t="shared" si="1471"/>
        <v>2989958.74</v>
      </c>
    </row>
    <row r="1732" spans="1:24">
      <c r="A1732" s="5" t="s">
        <v>328</v>
      </c>
      <c r="B1732" s="1" t="s">
        <v>404</v>
      </c>
      <c r="C1732" s="1" t="s">
        <v>20</v>
      </c>
      <c r="D1732" s="1" t="s">
        <v>13</v>
      </c>
      <c r="E1732" s="1" t="s">
        <v>82</v>
      </c>
      <c r="F1732" s="1" t="s">
        <v>70</v>
      </c>
      <c r="G1732" s="1" t="s">
        <v>148</v>
      </c>
      <c r="H1732" s="1" t="s">
        <v>170</v>
      </c>
      <c r="I1732" s="1"/>
      <c r="J1732" s="81">
        <f>J1733</f>
        <v>2691167</v>
      </c>
      <c r="K1732" s="81">
        <f t="shared" ref="K1732:O1733" si="1475">K1733</f>
        <v>2718077.96</v>
      </c>
      <c r="L1732" s="81">
        <f t="shared" si="1475"/>
        <v>2745258.74</v>
      </c>
      <c r="M1732" s="81">
        <f t="shared" si="1475"/>
        <v>0</v>
      </c>
      <c r="N1732" s="81">
        <f t="shared" si="1475"/>
        <v>0</v>
      </c>
      <c r="O1732" s="81">
        <f t="shared" si="1475"/>
        <v>0</v>
      </c>
      <c r="P1732" s="81">
        <f t="shared" si="1465"/>
        <v>2691167</v>
      </c>
      <c r="Q1732" s="81">
        <f t="shared" si="1466"/>
        <v>2718077.96</v>
      </c>
      <c r="R1732" s="81">
        <f t="shared" si="1467"/>
        <v>2745258.74</v>
      </c>
      <c r="S1732" s="81">
        <f t="shared" ref="S1732:U1733" si="1476">S1733</f>
        <v>0</v>
      </c>
      <c r="T1732" s="81">
        <f t="shared" si="1476"/>
        <v>0</v>
      </c>
      <c r="U1732" s="81">
        <f t="shared" si="1476"/>
        <v>0</v>
      </c>
      <c r="V1732" s="81">
        <f t="shared" si="1469"/>
        <v>2691167</v>
      </c>
      <c r="W1732" s="81">
        <f t="shared" si="1470"/>
        <v>2718077.96</v>
      </c>
      <c r="X1732" s="81">
        <f t="shared" si="1471"/>
        <v>2745258.74</v>
      </c>
    </row>
    <row r="1733" spans="1:24" ht="38.25">
      <c r="A1733" s="77" t="s">
        <v>96</v>
      </c>
      <c r="B1733" s="1" t="s">
        <v>404</v>
      </c>
      <c r="C1733" s="1" t="s">
        <v>20</v>
      </c>
      <c r="D1733" s="1" t="s">
        <v>13</v>
      </c>
      <c r="E1733" s="1" t="s">
        <v>82</v>
      </c>
      <c r="F1733" s="1" t="s">
        <v>70</v>
      </c>
      <c r="G1733" s="1" t="s">
        <v>148</v>
      </c>
      <c r="H1733" s="1" t="s">
        <v>170</v>
      </c>
      <c r="I1733" s="13" t="s">
        <v>92</v>
      </c>
      <c r="J1733" s="81">
        <f>J1734</f>
        <v>2691167</v>
      </c>
      <c r="K1733" s="81">
        <f t="shared" si="1475"/>
        <v>2718077.96</v>
      </c>
      <c r="L1733" s="81">
        <f t="shared" si="1475"/>
        <v>2745258.74</v>
      </c>
      <c r="M1733" s="81">
        <f t="shared" si="1475"/>
        <v>0</v>
      </c>
      <c r="N1733" s="81">
        <f t="shared" si="1475"/>
        <v>0</v>
      </c>
      <c r="O1733" s="81">
        <f t="shared" si="1475"/>
        <v>0</v>
      </c>
      <c r="P1733" s="81">
        <f t="shared" si="1465"/>
        <v>2691167</v>
      </c>
      <c r="Q1733" s="81">
        <f t="shared" si="1466"/>
        <v>2718077.96</v>
      </c>
      <c r="R1733" s="81">
        <f t="shared" si="1467"/>
        <v>2745258.74</v>
      </c>
      <c r="S1733" s="81">
        <f t="shared" si="1476"/>
        <v>0</v>
      </c>
      <c r="T1733" s="81">
        <f t="shared" si="1476"/>
        <v>0</v>
      </c>
      <c r="U1733" s="81">
        <f t="shared" si="1476"/>
        <v>0</v>
      </c>
      <c r="V1733" s="81">
        <f t="shared" si="1469"/>
        <v>2691167</v>
      </c>
      <c r="W1733" s="81">
        <f t="shared" si="1470"/>
        <v>2718077.96</v>
      </c>
      <c r="X1733" s="81">
        <f t="shared" si="1471"/>
        <v>2745258.74</v>
      </c>
    </row>
    <row r="1734" spans="1:24">
      <c r="A1734" s="77" t="s">
        <v>103</v>
      </c>
      <c r="B1734" s="1" t="s">
        <v>404</v>
      </c>
      <c r="C1734" s="1" t="s">
        <v>20</v>
      </c>
      <c r="D1734" s="1" t="s">
        <v>13</v>
      </c>
      <c r="E1734" s="1" t="s">
        <v>82</v>
      </c>
      <c r="F1734" s="1" t="s">
        <v>70</v>
      </c>
      <c r="G1734" s="1" t="s">
        <v>148</v>
      </c>
      <c r="H1734" s="1" t="s">
        <v>170</v>
      </c>
      <c r="I1734" s="13" t="s">
        <v>102</v>
      </c>
      <c r="J1734" s="81">
        <v>2691167</v>
      </c>
      <c r="K1734" s="81">
        <v>2718077.96</v>
      </c>
      <c r="L1734" s="81">
        <v>2745258.74</v>
      </c>
      <c r="M1734" s="81"/>
      <c r="N1734" s="81"/>
      <c r="O1734" s="81"/>
      <c r="P1734" s="81">
        <f t="shared" si="1465"/>
        <v>2691167</v>
      </c>
      <c r="Q1734" s="81">
        <f t="shared" si="1466"/>
        <v>2718077.96</v>
      </c>
      <c r="R1734" s="81">
        <f t="shared" si="1467"/>
        <v>2745258.74</v>
      </c>
      <c r="S1734" s="81"/>
      <c r="T1734" s="81"/>
      <c r="U1734" s="81"/>
      <c r="V1734" s="81">
        <f t="shared" si="1469"/>
        <v>2691167</v>
      </c>
      <c r="W1734" s="81">
        <f t="shared" si="1470"/>
        <v>2718077.96</v>
      </c>
      <c r="X1734" s="81">
        <f t="shared" si="1471"/>
        <v>2745258.74</v>
      </c>
    </row>
    <row r="1735" spans="1:24" ht="25.5">
      <c r="A1735" s="5" t="s">
        <v>329</v>
      </c>
      <c r="B1735" s="1" t="s">
        <v>404</v>
      </c>
      <c r="C1735" s="1" t="s">
        <v>20</v>
      </c>
      <c r="D1735" s="1" t="s">
        <v>13</v>
      </c>
      <c r="E1735" s="1" t="s">
        <v>82</v>
      </c>
      <c r="F1735" s="1" t="s">
        <v>70</v>
      </c>
      <c r="G1735" s="1" t="s">
        <v>148</v>
      </c>
      <c r="H1735" s="1" t="s">
        <v>171</v>
      </c>
      <c r="I1735" s="13"/>
      <c r="J1735" s="81">
        <f>J1736+J1738</f>
        <v>244700</v>
      </c>
      <c r="K1735" s="81">
        <f t="shared" ref="K1735:L1735" si="1477">K1736+K1738</f>
        <v>244700</v>
      </c>
      <c r="L1735" s="81">
        <f t="shared" si="1477"/>
        <v>244700</v>
      </c>
      <c r="M1735" s="81">
        <f t="shared" ref="M1735:O1735" si="1478">M1736+M1738</f>
        <v>0</v>
      </c>
      <c r="N1735" s="81">
        <f t="shared" si="1478"/>
        <v>0</v>
      </c>
      <c r="O1735" s="81">
        <f t="shared" si="1478"/>
        <v>0</v>
      </c>
      <c r="P1735" s="81">
        <f t="shared" si="1465"/>
        <v>244700</v>
      </c>
      <c r="Q1735" s="81">
        <f t="shared" si="1466"/>
        <v>244700</v>
      </c>
      <c r="R1735" s="81">
        <f t="shared" si="1467"/>
        <v>244700</v>
      </c>
      <c r="S1735" s="81">
        <f>S1736+S1738+S1740</f>
        <v>0</v>
      </c>
      <c r="T1735" s="81">
        <f t="shared" ref="T1735:U1735" si="1479">T1736+T1738+T1740</f>
        <v>0</v>
      </c>
      <c r="U1735" s="81">
        <f t="shared" si="1479"/>
        <v>0</v>
      </c>
      <c r="V1735" s="81">
        <f t="shared" si="1469"/>
        <v>244700</v>
      </c>
      <c r="W1735" s="81">
        <f t="shared" si="1470"/>
        <v>244700</v>
      </c>
      <c r="X1735" s="81">
        <f t="shared" si="1471"/>
        <v>244700</v>
      </c>
    </row>
    <row r="1736" spans="1:24" ht="38.25">
      <c r="A1736" s="77" t="s">
        <v>96</v>
      </c>
      <c r="B1736" s="1" t="s">
        <v>404</v>
      </c>
      <c r="C1736" s="1" t="s">
        <v>20</v>
      </c>
      <c r="D1736" s="1" t="s">
        <v>13</v>
      </c>
      <c r="E1736" s="1" t="s">
        <v>82</v>
      </c>
      <c r="F1736" s="1" t="s">
        <v>70</v>
      </c>
      <c r="G1736" s="1" t="s">
        <v>148</v>
      </c>
      <c r="H1736" s="1" t="s">
        <v>171</v>
      </c>
      <c r="I1736" s="13" t="s">
        <v>92</v>
      </c>
      <c r="J1736" s="81">
        <f>J1737</f>
        <v>124700</v>
      </c>
      <c r="K1736" s="81">
        <f t="shared" ref="K1736:O1736" si="1480">K1737</f>
        <v>124700</v>
      </c>
      <c r="L1736" s="81">
        <f t="shared" si="1480"/>
        <v>124700</v>
      </c>
      <c r="M1736" s="81">
        <f t="shared" si="1480"/>
        <v>0</v>
      </c>
      <c r="N1736" s="81">
        <f t="shared" si="1480"/>
        <v>0</v>
      </c>
      <c r="O1736" s="81">
        <f t="shared" si="1480"/>
        <v>0</v>
      </c>
      <c r="P1736" s="81">
        <f t="shared" si="1465"/>
        <v>124700</v>
      </c>
      <c r="Q1736" s="81">
        <f t="shared" si="1466"/>
        <v>124700</v>
      </c>
      <c r="R1736" s="81">
        <f t="shared" si="1467"/>
        <v>124700</v>
      </c>
      <c r="S1736" s="81">
        <f t="shared" ref="S1736:U1736" si="1481">S1737</f>
        <v>0</v>
      </c>
      <c r="T1736" s="81">
        <f t="shared" si="1481"/>
        <v>0</v>
      </c>
      <c r="U1736" s="81">
        <f t="shared" si="1481"/>
        <v>0</v>
      </c>
      <c r="V1736" s="81">
        <f t="shared" si="1469"/>
        <v>124700</v>
      </c>
      <c r="W1736" s="81">
        <f t="shared" si="1470"/>
        <v>124700</v>
      </c>
      <c r="X1736" s="81">
        <f t="shared" si="1471"/>
        <v>124700</v>
      </c>
    </row>
    <row r="1737" spans="1:24">
      <c r="A1737" s="77" t="s">
        <v>103</v>
      </c>
      <c r="B1737" s="1" t="s">
        <v>404</v>
      </c>
      <c r="C1737" s="1" t="s">
        <v>20</v>
      </c>
      <c r="D1737" s="1" t="s">
        <v>13</v>
      </c>
      <c r="E1737" s="1" t="s">
        <v>82</v>
      </c>
      <c r="F1737" s="1" t="s">
        <v>70</v>
      </c>
      <c r="G1737" s="1" t="s">
        <v>148</v>
      </c>
      <c r="H1737" s="1" t="s">
        <v>171</v>
      </c>
      <c r="I1737" s="13" t="s">
        <v>102</v>
      </c>
      <c r="J1737" s="81">
        <v>124700</v>
      </c>
      <c r="K1737" s="81">
        <v>124700</v>
      </c>
      <c r="L1737" s="81">
        <v>124700</v>
      </c>
      <c r="M1737" s="81"/>
      <c r="N1737" s="81"/>
      <c r="O1737" s="81"/>
      <c r="P1737" s="81">
        <f t="shared" si="1465"/>
        <v>124700</v>
      </c>
      <c r="Q1737" s="81">
        <f t="shared" si="1466"/>
        <v>124700</v>
      </c>
      <c r="R1737" s="81">
        <f t="shared" si="1467"/>
        <v>124700</v>
      </c>
      <c r="S1737" s="81"/>
      <c r="T1737" s="81"/>
      <c r="U1737" s="81"/>
      <c r="V1737" s="81">
        <f t="shared" si="1469"/>
        <v>124700</v>
      </c>
      <c r="W1737" s="81">
        <f t="shared" si="1470"/>
        <v>124700</v>
      </c>
      <c r="X1737" s="81">
        <f t="shared" si="1471"/>
        <v>124700</v>
      </c>
    </row>
    <row r="1738" spans="1:24" ht="25.5">
      <c r="A1738" s="78" t="s">
        <v>260</v>
      </c>
      <c r="B1738" s="1" t="s">
        <v>404</v>
      </c>
      <c r="C1738" s="1" t="s">
        <v>20</v>
      </c>
      <c r="D1738" s="1" t="s">
        <v>13</v>
      </c>
      <c r="E1738" s="1" t="s">
        <v>82</v>
      </c>
      <c r="F1738" s="1" t="s">
        <v>70</v>
      </c>
      <c r="G1738" s="1" t="s">
        <v>148</v>
      </c>
      <c r="H1738" s="1" t="s">
        <v>171</v>
      </c>
      <c r="I1738" s="13" t="s">
        <v>94</v>
      </c>
      <c r="J1738" s="81">
        <f>J1739</f>
        <v>120000</v>
      </c>
      <c r="K1738" s="81">
        <f t="shared" ref="K1738:O1738" si="1482">K1739</f>
        <v>120000</v>
      </c>
      <c r="L1738" s="81">
        <f t="shared" si="1482"/>
        <v>120000</v>
      </c>
      <c r="M1738" s="81">
        <f t="shared" si="1482"/>
        <v>0</v>
      </c>
      <c r="N1738" s="81">
        <f t="shared" si="1482"/>
        <v>0</v>
      </c>
      <c r="O1738" s="81">
        <f t="shared" si="1482"/>
        <v>0</v>
      </c>
      <c r="P1738" s="81">
        <f t="shared" si="1465"/>
        <v>120000</v>
      </c>
      <c r="Q1738" s="81">
        <f t="shared" si="1466"/>
        <v>120000</v>
      </c>
      <c r="R1738" s="81">
        <f t="shared" si="1467"/>
        <v>120000</v>
      </c>
      <c r="S1738" s="81">
        <f t="shared" ref="S1738:U1738" si="1483">S1739</f>
        <v>-4000</v>
      </c>
      <c r="T1738" s="81">
        <f t="shared" si="1483"/>
        <v>0</v>
      </c>
      <c r="U1738" s="81">
        <f t="shared" si="1483"/>
        <v>0</v>
      </c>
      <c r="V1738" s="81">
        <f t="shared" si="1469"/>
        <v>116000</v>
      </c>
      <c r="W1738" s="81">
        <f t="shared" si="1470"/>
        <v>120000</v>
      </c>
      <c r="X1738" s="81">
        <f t="shared" si="1471"/>
        <v>120000</v>
      </c>
    </row>
    <row r="1739" spans="1:24" ht="25.5">
      <c r="A1739" s="77" t="s">
        <v>98</v>
      </c>
      <c r="B1739" s="1" t="s">
        <v>404</v>
      </c>
      <c r="C1739" s="1" t="s">
        <v>20</v>
      </c>
      <c r="D1739" s="1" t="s">
        <v>13</v>
      </c>
      <c r="E1739" s="1" t="s">
        <v>82</v>
      </c>
      <c r="F1739" s="1" t="s">
        <v>70</v>
      </c>
      <c r="G1739" s="1" t="s">
        <v>148</v>
      </c>
      <c r="H1739" s="1" t="s">
        <v>171</v>
      </c>
      <c r="I1739" s="13" t="s">
        <v>95</v>
      </c>
      <c r="J1739" s="81">
        <v>120000</v>
      </c>
      <c r="K1739" s="81">
        <v>120000</v>
      </c>
      <c r="L1739" s="81">
        <v>120000</v>
      </c>
      <c r="M1739" s="81"/>
      <c r="N1739" s="81"/>
      <c r="O1739" s="81"/>
      <c r="P1739" s="81">
        <f t="shared" si="1465"/>
        <v>120000</v>
      </c>
      <c r="Q1739" s="81">
        <f t="shared" si="1466"/>
        <v>120000</v>
      </c>
      <c r="R1739" s="81">
        <f t="shared" si="1467"/>
        <v>120000</v>
      </c>
      <c r="S1739" s="81">
        <v>-4000</v>
      </c>
      <c r="T1739" s="81"/>
      <c r="U1739" s="81"/>
      <c r="V1739" s="81">
        <f t="shared" si="1469"/>
        <v>116000</v>
      </c>
      <c r="W1739" s="81">
        <f t="shared" si="1470"/>
        <v>120000</v>
      </c>
      <c r="X1739" s="81">
        <f t="shared" si="1471"/>
        <v>120000</v>
      </c>
    </row>
    <row r="1740" spans="1:24">
      <c r="A1740" s="188" t="s">
        <v>80</v>
      </c>
      <c r="B1740" s="1" t="s">
        <v>404</v>
      </c>
      <c r="C1740" s="1" t="s">
        <v>20</v>
      </c>
      <c r="D1740" s="1" t="s">
        <v>13</v>
      </c>
      <c r="E1740" s="1" t="s">
        <v>82</v>
      </c>
      <c r="F1740" s="1" t="s">
        <v>70</v>
      </c>
      <c r="G1740" s="1" t="s">
        <v>148</v>
      </c>
      <c r="H1740" s="1" t="s">
        <v>171</v>
      </c>
      <c r="I1740" s="13" t="s">
        <v>77</v>
      </c>
      <c r="J1740" s="81"/>
      <c r="K1740" s="81"/>
      <c r="L1740" s="81"/>
      <c r="M1740" s="81"/>
      <c r="N1740" s="81"/>
      <c r="O1740" s="81"/>
      <c r="P1740" s="81"/>
      <c r="Q1740" s="81"/>
      <c r="R1740" s="81"/>
      <c r="S1740" s="81">
        <f>S1741</f>
        <v>4000</v>
      </c>
      <c r="T1740" s="81">
        <f t="shared" ref="T1740" si="1484">T1741</f>
        <v>0</v>
      </c>
      <c r="U1740" s="81">
        <f t="shared" ref="U1740" si="1485">U1741</f>
        <v>0</v>
      </c>
      <c r="V1740" s="81">
        <f t="shared" si="1469"/>
        <v>4000</v>
      </c>
      <c r="W1740" s="81">
        <f t="shared" si="1470"/>
        <v>0</v>
      </c>
      <c r="X1740" s="81">
        <f t="shared" si="1471"/>
        <v>0</v>
      </c>
    </row>
    <row r="1741" spans="1:24">
      <c r="A1741" s="190" t="s">
        <v>125</v>
      </c>
      <c r="B1741" s="1" t="s">
        <v>404</v>
      </c>
      <c r="C1741" s="1" t="s">
        <v>20</v>
      </c>
      <c r="D1741" s="1" t="s">
        <v>13</v>
      </c>
      <c r="E1741" s="1" t="s">
        <v>82</v>
      </c>
      <c r="F1741" s="1" t="s">
        <v>70</v>
      </c>
      <c r="G1741" s="1" t="s">
        <v>148</v>
      </c>
      <c r="H1741" s="1" t="s">
        <v>171</v>
      </c>
      <c r="I1741" s="13" t="s">
        <v>124</v>
      </c>
      <c r="J1741" s="81"/>
      <c r="K1741" s="81"/>
      <c r="L1741" s="81"/>
      <c r="M1741" s="81"/>
      <c r="N1741" s="81"/>
      <c r="O1741" s="81"/>
      <c r="P1741" s="81"/>
      <c r="Q1741" s="81"/>
      <c r="R1741" s="81"/>
      <c r="S1741" s="81">
        <v>4000</v>
      </c>
      <c r="T1741" s="81"/>
      <c r="U1741" s="81"/>
      <c r="V1741" s="81">
        <f t="shared" si="1469"/>
        <v>4000</v>
      </c>
      <c r="W1741" s="81">
        <f t="shared" si="1470"/>
        <v>0</v>
      </c>
      <c r="X1741" s="81">
        <f t="shared" si="1471"/>
        <v>0</v>
      </c>
    </row>
    <row r="1742" spans="1:24">
      <c r="A1742" s="120"/>
      <c r="B1742" s="1"/>
      <c r="C1742" s="1"/>
      <c r="D1742" s="1"/>
      <c r="E1742" s="35"/>
      <c r="F1742" s="35"/>
      <c r="G1742" s="35"/>
      <c r="H1742" s="36"/>
      <c r="I1742" s="36"/>
      <c r="J1742" s="81"/>
      <c r="K1742" s="81"/>
      <c r="L1742" s="81"/>
      <c r="M1742" s="81"/>
      <c r="N1742" s="81"/>
      <c r="O1742" s="81"/>
      <c r="P1742" s="81"/>
      <c r="Q1742" s="81"/>
      <c r="R1742" s="81"/>
      <c r="S1742" s="81"/>
      <c r="T1742" s="81"/>
      <c r="U1742" s="81"/>
      <c r="V1742" s="81"/>
      <c r="W1742" s="81"/>
      <c r="X1742" s="81"/>
    </row>
    <row r="1743" spans="1:24" ht="25.5">
      <c r="A1743" s="171" t="s">
        <v>411</v>
      </c>
      <c r="B1743" s="130" t="s">
        <v>403</v>
      </c>
      <c r="C1743" s="131"/>
      <c r="D1743" s="131"/>
      <c r="E1743" s="140"/>
      <c r="F1743" s="140"/>
      <c r="G1743" s="140"/>
      <c r="H1743" s="140"/>
      <c r="I1743" s="141"/>
      <c r="J1743" s="132">
        <f>J1744</f>
        <v>1865585</v>
      </c>
      <c r="K1743" s="132">
        <f t="shared" ref="K1743:O1746" si="1486">K1744</f>
        <v>1883050.67</v>
      </c>
      <c r="L1743" s="132">
        <f t="shared" si="1486"/>
        <v>1900691.18</v>
      </c>
      <c r="M1743" s="132">
        <f t="shared" si="1486"/>
        <v>0</v>
      </c>
      <c r="N1743" s="132">
        <f t="shared" si="1486"/>
        <v>0</v>
      </c>
      <c r="O1743" s="132">
        <f t="shared" si="1486"/>
        <v>0</v>
      </c>
      <c r="P1743" s="132">
        <f t="shared" si="1465"/>
        <v>1865585</v>
      </c>
      <c r="Q1743" s="132">
        <f t="shared" si="1466"/>
        <v>1883050.67</v>
      </c>
      <c r="R1743" s="132">
        <f t="shared" si="1467"/>
        <v>1900691.18</v>
      </c>
      <c r="S1743" s="132">
        <f t="shared" ref="S1743:U1746" si="1487">S1744</f>
        <v>0</v>
      </c>
      <c r="T1743" s="132">
        <f t="shared" si="1487"/>
        <v>0</v>
      </c>
      <c r="U1743" s="132">
        <f t="shared" si="1487"/>
        <v>0</v>
      </c>
      <c r="V1743" s="132">
        <f t="shared" ref="V1743:V1751" si="1488">P1743+S1743</f>
        <v>1865585</v>
      </c>
      <c r="W1743" s="132">
        <f t="shared" ref="W1743:W1751" si="1489">Q1743+T1743</f>
        <v>1883050.67</v>
      </c>
      <c r="X1743" s="132">
        <f t="shared" ref="X1743:X1751" si="1490">R1743+U1743</f>
        <v>1900691.18</v>
      </c>
    </row>
    <row r="1744" spans="1:24" ht="15.75">
      <c r="A1744" s="24" t="s">
        <v>32</v>
      </c>
      <c r="B1744" s="125" t="s">
        <v>403</v>
      </c>
      <c r="C1744" s="126" t="s">
        <v>20</v>
      </c>
      <c r="D1744" s="126"/>
      <c r="E1744" s="126"/>
      <c r="F1744" s="126"/>
      <c r="G1744" s="126"/>
      <c r="H1744" s="126"/>
      <c r="I1744" s="127"/>
      <c r="J1744" s="128">
        <f>J1745</f>
        <v>1865585</v>
      </c>
      <c r="K1744" s="128">
        <f t="shared" si="1486"/>
        <v>1883050.67</v>
      </c>
      <c r="L1744" s="128">
        <f t="shared" si="1486"/>
        <v>1900691.18</v>
      </c>
      <c r="M1744" s="128">
        <f t="shared" si="1486"/>
        <v>0</v>
      </c>
      <c r="N1744" s="128">
        <f t="shared" si="1486"/>
        <v>0</v>
      </c>
      <c r="O1744" s="128">
        <f t="shared" si="1486"/>
        <v>0</v>
      </c>
      <c r="P1744" s="128">
        <f t="shared" si="1465"/>
        <v>1865585</v>
      </c>
      <c r="Q1744" s="128">
        <f t="shared" si="1466"/>
        <v>1883050.67</v>
      </c>
      <c r="R1744" s="128">
        <f t="shared" si="1467"/>
        <v>1900691.18</v>
      </c>
      <c r="S1744" s="128">
        <f t="shared" si="1487"/>
        <v>0</v>
      </c>
      <c r="T1744" s="128">
        <f t="shared" si="1487"/>
        <v>0</v>
      </c>
      <c r="U1744" s="128">
        <f t="shared" si="1487"/>
        <v>0</v>
      </c>
      <c r="V1744" s="128">
        <f t="shared" si="1488"/>
        <v>1865585</v>
      </c>
      <c r="W1744" s="128">
        <f t="shared" si="1489"/>
        <v>1883050.67</v>
      </c>
      <c r="X1744" s="128">
        <f t="shared" si="1490"/>
        <v>1900691.18</v>
      </c>
    </row>
    <row r="1745" spans="1:25" ht="25.5">
      <c r="A1745" s="18" t="s">
        <v>34</v>
      </c>
      <c r="B1745" s="14" t="s">
        <v>403</v>
      </c>
      <c r="C1745" s="14" t="s">
        <v>20</v>
      </c>
      <c r="D1745" s="14" t="s">
        <v>3</v>
      </c>
      <c r="E1745" s="14"/>
      <c r="F1745" s="14"/>
      <c r="G1745" s="14"/>
      <c r="H1745" s="1"/>
      <c r="I1745" s="13"/>
      <c r="J1745" s="101">
        <f>J1746</f>
        <v>1865585</v>
      </c>
      <c r="K1745" s="101">
        <f t="shared" si="1486"/>
        <v>1883050.67</v>
      </c>
      <c r="L1745" s="101">
        <f t="shared" si="1486"/>
        <v>1900691.18</v>
      </c>
      <c r="M1745" s="101">
        <f t="shared" si="1486"/>
        <v>0</v>
      </c>
      <c r="N1745" s="101">
        <f t="shared" si="1486"/>
        <v>0</v>
      </c>
      <c r="O1745" s="101">
        <f t="shared" si="1486"/>
        <v>0</v>
      </c>
      <c r="P1745" s="101">
        <f t="shared" si="1465"/>
        <v>1865585</v>
      </c>
      <c r="Q1745" s="101">
        <f t="shared" si="1466"/>
        <v>1883050.67</v>
      </c>
      <c r="R1745" s="101">
        <f t="shared" si="1467"/>
        <v>1900691.18</v>
      </c>
      <c r="S1745" s="101">
        <f t="shared" si="1487"/>
        <v>0</v>
      </c>
      <c r="T1745" s="101">
        <f t="shared" si="1487"/>
        <v>0</v>
      </c>
      <c r="U1745" s="101">
        <f t="shared" si="1487"/>
        <v>0</v>
      </c>
      <c r="V1745" s="101">
        <f t="shared" si="1488"/>
        <v>1865585</v>
      </c>
      <c r="W1745" s="101">
        <f t="shared" si="1489"/>
        <v>1883050.67</v>
      </c>
      <c r="X1745" s="101">
        <f t="shared" si="1490"/>
        <v>1900691.18</v>
      </c>
    </row>
    <row r="1746" spans="1:25">
      <c r="A1746" s="7" t="s">
        <v>83</v>
      </c>
      <c r="B1746" s="1" t="s">
        <v>403</v>
      </c>
      <c r="C1746" s="1" t="s">
        <v>20</v>
      </c>
      <c r="D1746" s="1" t="s">
        <v>3</v>
      </c>
      <c r="E1746" s="1" t="s">
        <v>82</v>
      </c>
      <c r="F1746" s="1" t="s">
        <v>70</v>
      </c>
      <c r="G1746" s="1" t="s">
        <v>148</v>
      </c>
      <c r="H1746" s="1" t="s">
        <v>149</v>
      </c>
      <c r="I1746" s="13"/>
      <c r="J1746" s="81">
        <f>J1747</f>
        <v>1865585</v>
      </c>
      <c r="K1746" s="81">
        <f t="shared" si="1486"/>
        <v>1883050.67</v>
      </c>
      <c r="L1746" s="81">
        <f t="shared" si="1486"/>
        <v>1900691.18</v>
      </c>
      <c r="M1746" s="81">
        <f t="shared" si="1486"/>
        <v>0</v>
      </c>
      <c r="N1746" s="81">
        <f t="shared" si="1486"/>
        <v>0</v>
      </c>
      <c r="O1746" s="81">
        <f t="shared" si="1486"/>
        <v>0</v>
      </c>
      <c r="P1746" s="81">
        <f t="shared" si="1465"/>
        <v>1865585</v>
      </c>
      <c r="Q1746" s="81">
        <f t="shared" si="1466"/>
        <v>1883050.67</v>
      </c>
      <c r="R1746" s="81">
        <f t="shared" si="1467"/>
        <v>1900691.18</v>
      </c>
      <c r="S1746" s="81">
        <f t="shared" si="1487"/>
        <v>0</v>
      </c>
      <c r="T1746" s="81">
        <f t="shared" si="1487"/>
        <v>0</v>
      </c>
      <c r="U1746" s="81">
        <f t="shared" si="1487"/>
        <v>0</v>
      </c>
      <c r="V1746" s="81">
        <f t="shared" si="1488"/>
        <v>1865585</v>
      </c>
      <c r="W1746" s="81">
        <f t="shared" si="1489"/>
        <v>1883050.67</v>
      </c>
      <c r="X1746" s="81">
        <f t="shared" si="1490"/>
        <v>1900691.18</v>
      </c>
    </row>
    <row r="1747" spans="1:25">
      <c r="A1747" s="11" t="s">
        <v>274</v>
      </c>
      <c r="B1747" s="1" t="s">
        <v>403</v>
      </c>
      <c r="C1747" s="1" t="s">
        <v>20</v>
      </c>
      <c r="D1747" s="1" t="s">
        <v>3</v>
      </c>
      <c r="E1747" s="1" t="s">
        <v>82</v>
      </c>
      <c r="F1747" s="1" t="s">
        <v>70</v>
      </c>
      <c r="G1747" s="1" t="s">
        <v>148</v>
      </c>
      <c r="H1747" s="1" t="s">
        <v>275</v>
      </c>
      <c r="I1747" s="13"/>
      <c r="J1747" s="81">
        <f>J1748+J1750</f>
        <v>1865585</v>
      </c>
      <c r="K1747" s="81">
        <f t="shared" ref="K1747:L1747" si="1491">K1748+K1750</f>
        <v>1883050.67</v>
      </c>
      <c r="L1747" s="81">
        <f t="shared" si="1491"/>
        <v>1900691.18</v>
      </c>
      <c r="M1747" s="81">
        <f t="shared" ref="M1747:O1747" si="1492">M1748+M1750</f>
        <v>0</v>
      </c>
      <c r="N1747" s="81">
        <f t="shared" si="1492"/>
        <v>0</v>
      </c>
      <c r="O1747" s="81">
        <f t="shared" si="1492"/>
        <v>0</v>
      </c>
      <c r="P1747" s="81">
        <f t="shared" si="1465"/>
        <v>1865585</v>
      </c>
      <c r="Q1747" s="81">
        <f t="shared" si="1466"/>
        <v>1883050.67</v>
      </c>
      <c r="R1747" s="81">
        <f t="shared" si="1467"/>
        <v>1900691.18</v>
      </c>
      <c r="S1747" s="81">
        <f>S1748+S1750+S1752</f>
        <v>0</v>
      </c>
      <c r="T1747" s="81">
        <f t="shared" ref="T1747:U1747" si="1493">T1748+T1750+T1752</f>
        <v>0</v>
      </c>
      <c r="U1747" s="81">
        <f t="shared" si="1493"/>
        <v>0</v>
      </c>
      <c r="V1747" s="81">
        <f t="shared" si="1488"/>
        <v>1865585</v>
      </c>
      <c r="W1747" s="81">
        <f t="shared" si="1489"/>
        <v>1883050.67</v>
      </c>
      <c r="X1747" s="81">
        <f t="shared" si="1490"/>
        <v>1900691.18</v>
      </c>
    </row>
    <row r="1748" spans="1:25" ht="38.25">
      <c r="A1748" s="77" t="s">
        <v>96</v>
      </c>
      <c r="B1748" s="1" t="s">
        <v>403</v>
      </c>
      <c r="C1748" s="1" t="s">
        <v>20</v>
      </c>
      <c r="D1748" s="1" t="s">
        <v>3</v>
      </c>
      <c r="E1748" s="1" t="s">
        <v>82</v>
      </c>
      <c r="F1748" s="1" t="s">
        <v>70</v>
      </c>
      <c r="G1748" s="1" t="s">
        <v>148</v>
      </c>
      <c r="H1748" s="1" t="s">
        <v>275</v>
      </c>
      <c r="I1748" s="13" t="s">
        <v>92</v>
      </c>
      <c r="J1748" s="81">
        <f>J1749</f>
        <v>1801585</v>
      </c>
      <c r="K1748" s="81">
        <f t="shared" ref="K1748:O1748" si="1494">K1749</f>
        <v>1819050.67</v>
      </c>
      <c r="L1748" s="81">
        <f t="shared" si="1494"/>
        <v>1836691.18</v>
      </c>
      <c r="M1748" s="81">
        <f t="shared" si="1494"/>
        <v>0</v>
      </c>
      <c r="N1748" s="81">
        <f t="shared" si="1494"/>
        <v>0</v>
      </c>
      <c r="O1748" s="81">
        <f t="shared" si="1494"/>
        <v>0</v>
      </c>
      <c r="P1748" s="81">
        <f t="shared" si="1465"/>
        <v>1801585</v>
      </c>
      <c r="Q1748" s="81">
        <f t="shared" si="1466"/>
        <v>1819050.67</v>
      </c>
      <c r="R1748" s="81">
        <f t="shared" si="1467"/>
        <v>1836691.18</v>
      </c>
      <c r="S1748" s="81">
        <f t="shared" ref="S1748:U1748" si="1495">S1749</f>
        <v>0</v>
      </c>
      <c r="T1748" s="81">
        <f t="shared" si="1495"/>
        <v>0</v>
      </c>
      <c r="U1748" s="81">
        <f t="shared" si="1495"/>
        <v>0</v>
      </c>
      <c r="V1748" s="81">
        <f t="shared" si="1488"/>
        <v>1801585</v>
      </c>
      <c r="W1748" s="81">
        <f t="shared" si="1489"/>
        <v>1819050.67</v>
      </c>
      <c r="X1748" s="81">
        <f t="shared" si="1490"/>
        <v>1836691.18</v>
      </c>
    </row>
    <row r="1749" spans="1:25">
      <c r="A1749" s="77" t="s">
        <v>103</v>
      </c>
      <c r="B1749" s="1" t="s">
        <v>403</v>
      </c>
      <c r="C1749" s="1" t="s">
        <v>20</v>
      </c>
      <c r="D1749" s="1" t="s">
        <v>3</v>
      </c>
      <c r="E1749" s="1" t="s">
        <v>82</v>
      </c>
      <c r="F1749" s="1" t="s">
        <v>70</v>
      </c>
      <c r="G1749" s="1" t="s">
        <v>148</v>
      </c>
      <c r="H1749" s="1" t="s">
        <v>275</v>
      </c>
      <c r="I1749" s="13" t="s">
        <v>102</v>
      </c>
      <c r="J1749" s="81">
        <v>1801585</v>
      </c>
      <c r="K1749" s="81">
        <v>1819050.67</v>
      </c>
      <c r="L1749" s="81">
        <v>1836691.18</v>
      </c>
      <c r="M1749" s="81"/>
      <c r="N1749" s="81"/>
      <c r="O1749" s="81"/>
      <c r="P1749" s="81">
        <f t="shared" si="1465"/>
        <v>1801585</v>
      </c>
      <c r="Q1749" s="81">
        <f t="shared" si="1466"/>
        <v>1819050.67</v>
      </c>
      <c r="R1749" s="81">
        <f t="shared" si="1467"/>
        <v>1836691.18</v>
      </c>
      <c r="S1749" s="81"/>
      <c r="T1749" s="81"/>
      <c r="U1749" s="81"/>
      <c r="V1749" s="81">
        <f t="shared" si="1488"/>
        <v>1801585</v>
      </c>
      <c r="W1749" s="81">
        <f t="shared" si="1489"/>
        <v>1819050.67</v>
      </c>
      <c r="X1749" s="81">
        <f t="shared" si="1490"/>
        <v>1836691.18</v>
      </c>
    </row>
    <row r="1750" spans="1:25" ht="25.5">
      <c r="A1750" s="78" t="s">
        <v>260</v>
      </c>
      <c r="B1750" s="1" t="s">
        <v>403</v>
      </c>
      <c r="C1750" s="1" t="s">
        <v>20</v>
      </c>
      <c r="D1750" s="1" t="s">
        <v>3</v>
      </c>
      <c r="E1750" s="1" t="s">
        <v>82</v>
      </c>
      <c r="F1750" s="1" t="s">
        <v>70</v>
      </c>
      <c r="G1750" s="1" t="s">
        <v>148</v>
      </c>
      <c r="H1750" s="1" t="s">
        <v>275</v>
      </c>
      <c r="I1750" s="13" t="s">
        <v>94</v>
      </c>
      <c r="J1750" s="81">
        <f>J1751</f>
        <v>64000</v>
      </c>
      <c r="K1750" s="81">
        <f t="shared" ref="K1750:O1750" si="1496">K1751</f>
        <v>64000</v>
      </c>
      <c r="L1750" s="81">
        <f t="shared" si="1496"/>
        <v>64000</v>
      </c>
      <c r="M1750" s="81">
        <f t="shared" si="1496"/>
        <v>0</v>
      </c>
      <c r="N1750" s="81">
        <f t="shared" si="1496"/>
        <v>0</v>
      </c>
      <c r="O1750" s="81">
        <f t="shared" si="1496"/>
        <v>0</v>
      </c>
      <c r="P1750" s="81">
        <f t="shared" si="1465"/>
        <v>64000</v>
      </c>
      <c r="Q1750" s="81">
        <f t="shared" si="1466"/>
        <v>64000</v>
      </c>
      <c r="R1750" s="81">
        <f t="shared" si="1467"/>
        <v>64000</v>
      </c>
      <c r="S1750" s="81">
        <f t="shared" ref="S1750:U1750" si="1497">S1751</f>
        <v>-4000</v>
      </c>
      <c r="T1750" s="81">
        <f t="shared" si="1497"/>
        <v>0</v>
      </c>
      <c r="U1750" s="81">
        <f t="shared" si="1497"/>
        <v>0</v>
      </c>
      <c r="V1750" s="81">
        <f t="shared" si="1488"/>
        <v>60000</v>
      </c>
      <c r="W1750" s="81">
        <f t="shared" si="1489"/>
        <v>64000</v>
      </c>
      <c r="X1750" s="81">
        <f t="shared" si="1490"/>
        <v>64000</v>
      </c>
    </row>
    <row r="1751" spans="1:25" ht="27.75" customHeight="1">
      <c r="A1751" s="77" t="s">
        <v>98</v>
      </c>
      <c r="B1751" s="1" t="s">
        <v>403</v>
      </c>
      <c r="C1751" s="1" t="s">
        <v>20</v>
      </c>
      <c r="D1751" s="1" t="s">
        <v>3</v>
      </c>
      <c r="E1751" s="1" t="s">
        <v>82</v>
      </c>
      <c r="F1751" s="1" t="s">
        <v>70</v>
      </c>
      <c r="G1751" s="1" t="s">
        <v>148</v>
      </c>
      <c r="H1751" s="1" t="s">
        <v>275</v>
      </c>
      <c r="I1751" s="13" t="s">
        <v>95</v>
      </c>
      <c r="J1751" s="81">
        <v>64000</v>
      </c>
      <c r="K1751" s="81">
        <v>64000</v>
      </c>
      <c r="L1751" s="81">
        <v>64000</v>
      </c>
      <c r="M1751" s="81"/>
      <c r="N1751" s="81"/>
      <c r="O1751" s="81"/>
      <c r="P1751" s="81">
        <f t="shared" si="1465"/>
        <v>64000</v>
      </c>
      <c r="Q1751" s="81">
        <f t="shared" si="1466"/>
        <v>64000</v>
      </c>
      <c r="R1751" s="81">
        <f t="shared" si="1467"/>
        <v>64000</v>
      </c>
      <c r="S1751" s="81">
        <v>-4000</v>
      </c>
      <c r="T1751" s="81"/>
      <c r="U1751" s="81"/>
      <c r="V1751" s="81">
        <f t="shared" si="1488"/>
        <v>60000</v>
      </c>
      <c r="W1751" s="81">
        <f t="shared" si="1489"/>
        <v>64000</v>
      </c>
      <c r="X1751" s="81">
        <f t="shared" si="1490"/>
        <v>64000</v>
      </c>
    </row>
    <row r="1752" spans="1:25">
      <c r="A1752" s="188" t="s">
        <v>80</v>
      </c>
      <c r="B1752" s="1" t="s">
        <v>403</v>
      </c>
      <c r="C1752" s="1" t="s">
        <v>20</v>
      </c>
      <c r="D1752" s="1" t="s">
        <v>3</v>
      </c>
      <c r="E1752" s="1" t="s">
        <v>82</v>
      </c>
      <c r="F1752" s="1" t="s">
        <v>70</v>
      </c>
      <c r="G1752" s="1" t="s">
        <v>148</v>
      </c>
      <c r="H1752" s="1" t="s">
        <v>275</v>
      </c>
      <c r="I1752" s="13" t="s">
        <v>77</v>
      </c>
      <c r="J1752" s="81"/>
      <c r="K1752" s="81"/>
      <c r="L1752" s="81"/>
      <c r="M1752" s="81"/>
      <c r="N1752" s="81"/>
      <c r="O1752" s="81"/>
      <c r="P1752" s="81"/>
      <c r="Q1752" s="81"/>
      <c r="R1752" s="81"/>
      <c r="S1752" s="81">
        <f>S1753</f>
        <v>4000</v>
      </c>
      <c r="T1752" s="81">
        <f t="shared" ref="T1752:U1752" si="1498">T1753</f>
        <v>0</v>
      </c>
      <c r="U1752" s="81">
        <f t="shared" si="1498"/>
        <v>0</v>
      </c>
      <c r="V1752" s="81">
        <f t="shared" ref="V1752:V1753" si="1499">P1752+S1752</f>
        <v>4000</v>
      </c>
      <c r="W1752" s="81">
        <f t="shared" ref="W1752:W1753" si="1500">Q1752+T1752</f>
        <v>0</v>
      </c>
      <c r="X1752" s="81">
        <f t="shared" ref="X1752:X1753" si="1501">R1752+U1752</f>
        <v>0</v>
      </c>
    </row>
    <row r="1753" spans="1:25">
      <c r="A1753" s="190" t="s">
        <v>125</v>
      </c>
      <c r="B1753" s="1" t="s">
        <v>403</v>
      </c>
      <c r="C1753" s="1" t="s">
        <v>20</v>
      </c>
      <c r="D1753" s="1" t="s">
        <v>3</v>
      </c>
      <c r="E1753" s="1" t="s">
        <v>82</v>
      </c>
      <c r="F1753" s="1" t="s">
        <v>70</v>
      </c>
      <c r="G1753" s="1" t="s">
        <v>148</v>
      </c>
      <c r="H1753" s="1" t="s">
        <v>275</v>
      </c>
      <c r="I1753" s="13" t="s">
        <v>124</v>
      </c>
      <c r="J1753" s="81"/>
      <c r="K1753" s="81"/>
      <c r="L1753" s="81"/>
      <c r="M1753" s="81"/>
      <c r="N1753" s="81"/>
      <c r="O1753" s="81"/>
      <c r="P1753" s="81"/>
      <c r="Q1753" s="81"/>
      <c r="R1753" s="81"/>
      <c r="S1753" s="81">
        <v>4000</v>
      </c>
      <c r="T1753" s="81"/>
      <c r="U1753" s="81"/>
      <c r="V1753" s="81">
        <f t="shared" si="1499"/>
        <v>4000</v>
      </c>
      <c r="W1753" s="81">
        <f t="shared" si="1500"/>
        <v>0</v>
      </c>
      <c r="X1753" s="81">
        <f t="shared" si="1501"/>
        <v>0</v>
      </c>
    </row>
    <row r="1754" spans="1:25">
      <c r="A1754" s="2"/>
      <c r="B1754" s="48"/>
      <c r="C1754" s="1"/>
      <c r="D1754" s="1"/>
      <c r="E1754" s="1"/>
      <c r="F1754" s="1"/>
      <c r="G1754" s="1"/>
      <c r="H1754" s="1"/>
      <c r="I1754" s="13"/>
      <c r="J1754" s="81"/>
      <c r="K1754" s="81"/>
      <c r="L1754" s="81"/>
      <c r="M1754" s="81"/>
      <c r="N1754" s="81"/>
      <c r="O1754" s="81"/>
      <c r="P1754" s="81"/>
      <c r="Q1754" s="81"/>
      <c r="R1754" s="81"/>
      <c r="S1754" s="81"/>
      <c r="T1754" s="81"/>
      <c r="U1754" s="81"/>
      <c r="V1754" s="81"/>
      <c r="W1754" s="81"/>
      <c r="X1754" s="81"/>
    </row>
    <row r="1755" spans="1:25">
      <c r="A1755" s="153" t="s">
        <v>390</v>
      </c>
      <c r="B1755" s="154"/>
      <c r="C1755" s="155"/>
      <c r="D1755" s="156"/>
      <c r="E1755" s="154"/>
      <c r="F1755" s="154"/>
      <c r="G1755" s="154"/>
      <c r="H1755" s="157"/>
      <c r="I1755" s="157"/>
      <c r="J1755" s="158"/>
      <c r="K1755" s="158">
        <v>16087000</v>
      </c>
      <c r="L1755" s="158">
        <v>32828000</v>
      </c>
      <c r="M1755" s="158"/>
      <c r="N1755" s="158"/>
      <c r="O1755" s="158"/>
      <c r="P1755" s="158">
        <f t="shared" si="1465"/>
        <v>0</v>
      </c>
      <c r="Q1755" s="158">
        <f t="shared" si="1466"/>
        <v>16087000</v>
      </c>
      <c r="R1755" s="158">
        <f t="shared" si="1467"/>
        <v>32828000</v>
      </c>
      <c r="S1755" s="158"/>
      <c r="T1755" s="158"/>
      <c r="U1755" s="158"/>
      <c r="V1755" s="158">
        <f t="shared" ref="V1755" si="1502">P1755+S1755</f>
        <v>0</v>
      </c>
      <c r="W1755" s="158">
        <f t="shared" ref="W1755" si="1503">Q1755+T1755</f>
        <v>16087000</v>
      </c>
      <c r="X1755" s="158">
        <f t="shared" ref="X1755" si="1504">R1755+U1755</f>
        <v>32828000</v>
      </c>
    </row>
    <row r="1756" spans="1:25" ht="15">
      <c r="A1756" s="69" t="s">
        <v>39</v>
      </c>
      <c r="B1756" s="70"/>
      <c r="C1756" s="71"/>
      <c r="D1756" s="71"/>
      <c r="E1756" s="71"/>
      <c r="F1756" s="71"/>
      <c r="G1756" s="71"/>
      <c r="H1756" s="71"/>
      <c r="I1756" s="71"/>
      <c r="J1756" s="107">
        <f t="shared" ref="J1756:X1756" si="1505">J17+J179+J354+J407+J437+J1728+J1743+J1755</f>
        <v>975148001.94000006</v>
      </c>
      <c r="K1756" s="107">
        <f t="shared" si="1505"/>
        <v>900335165.51999998</v>
      </c>
      <c r="L1756" s="107">
        <f t="shared" si="1505"/>
        <v>922464352.67999995</v>
      </c>
      <c r="M1756" s="107">
        <f t="shared" si="1505"/>
        <v>101114287.67</v>
      </c>
      <c r="N1756" s="107">
        <f t="shared" si="1505"/>
        <v>771777.15999999968</v>
      </c>
      <c r="O1756" s="107">
        <f t="shared" si="1505"/>
        <v>-1690538.9500000004</v>
      </c>
      <c r="P1756" s="107">
        <f t="shared" si="1505"/>
        <v>1076262289.6100001</v>
      </c>
      <c r="Q1756" s="107">
        <f t="shared" si="1505"/>
        <v>901106942.67999995</v>
      </c>
      <c r="R1756" s="107">
        <f t="shared" si="1505"/>
        <v>920773813.7299999</v>
      </c>
      <c r="S1756" s="107">
        <f t="shared" si="1505"/>
        <v>136145032.76000002</v>
      </c>
      <c r="T1756" s="107">
        <f t="shared" si="1505"/>
        <v>293866.65999999997</v>
      </c>
      <c r="U1756" s="107">
        <f t="shared" si="1505"/>
        <v>278194.39</v>
      </c>
      <c r="V1756" s="107">
        <f t="shared" si="1505"/>
        <v>1212407322.3700001</v>
      </c>
      <c r="W1756" s="107">
        <f t="shared" si="1505"/>
        <v>901400809.33999991</v>
      </c>
      <c r="X1756" s="107">
        <f t="shared" si="1505"/>
        <v>921052008.12</v>
      </c>
      <c r="Y1756" s="121" t="s">
        <v>416</v>
      </c>
    </row>
    <row r="1757" spans="1:25">
      <c r="A1757" t="s">
        <v>115</v>
      </c>
      <c r="H1757" t="s">
        <v>130</v>
      </c>
      <c r="J1757" s="108" t="e">
        <f>J20+J24+J28+J42+J61+J68+J154+J161+J182+J201+J237+J265+J271+J293+J324+#REF!+#REF!+#REF!+#REF!+#REF!+#REF!+#REF!+#REF!+#REF!+#REF!+#REF!+#REF!+#REF!+#REF!+#REF!+#REF!+#REF!+#REF!+#REF!+#REF!+#REF!+#REF!+#REF!+#REF!+#REF!+J357+J378+J385+J390+J411</f>
        <v>#REF!</v>
      </c>
      <c r="K1757" s="108" t="e">
        <f>K20+K24+K28+K42+K61+K68+K154+K161+K182+K201+K237+K265+K271+K293+K324+#REF!+#REF!+#REF!+#REF!+#REF!+#REF!+#REF!+#REF!+#REF!+#REF!+#REF!+#REF!+#REF!+#REF!+#REF!+#REF!+#REF!+#REF!+#REF!+#REF!+#REF!+#REF!+#REF!+#REF!+#REF!+K357+K378+K385+K390+K411</f>
        <v>#REF!</v>
      </c>
      <c r="L1757" s="108" t="e">
        <f>L20+L24+L28+L42+L61+L68+L154+L161+L182+L201+L237+L265+L271+L293+L324+#REF!+#REF!+#REF!+#REF!+#REF!+#REF!+#REF!+#REF!+#REF!+#REF!+#REF!+#REF!+#REF!+#REF!+#REF!+#REF!+#REF!+#REF!+#REF!+#REF!+#REF!+#REF!+#REF!+#REF!+#REF!+L357+L378+L385+L390+L411</f>
        <v>#REF!</v>
      </c>
    </row>
    <row r="1758" spans="1:25" ht="15">
      <c r="A1758" s="161"/>
      <c r="B1758" s="161"/>
      <c r="C1758" s="162"/>
      <c r="D1758" s="162"/>
      <c r="E1758" s="162"/>
      <c r="F1758" s="162"/>
      <c r="G1758" s="162"/>
      <c r="H1758" s="162"/>
      <c r="I1758" s="162"/>
      <c r="J1758" s="163"/>
      <c r="K1758" s="163"/>
      <c r="L1758" s="163"/>
    </row>
    <row r="1759" spans="1:25" ht="15">
      <c r="A1759" s="161"/>
      <c r="B1759" s="161"/>
      <c r="C1759" s="162"/>
      <c r="D1759" s="162"/>
      <c r="E1759" s="162"/>
      <c r="F1759" s="162"/>
      <c r="G1759" s="162"/>
      <c r="H1759" s="162"/>
      <c r="I1759" s="162"/>
      <c r="J1759" s="163"/>
      <c r="K1759" s="163"/>
      <c r="L1759" s="163"/>
    </row>
    <row r="1760" spans="1:25" ht="15">
      <c r="A1760" s="161"/>
      <c r="B1760" s="161"/>
      <c r="C1760" s="162"/>
      <c r="D1760" s="162"/>
      <c r="E1760" s="162"/>
      <c r="F1760" s="162"/>
      <c r="G1760" s="162"/>
      <c r="H1760" s="162"/>
      <c r="I1760" s="162"/>
      <c r="J1760" s="163"/>
      <c r="K1760" s="163"/>
      <c r="L1760" s="163"/>
    </row>
    <row r="1761" spans="1:12" ht="15">
      <c r="A1761" s="161"/>
      <c r="B1761" s="161"/>
      <c r="C1761" s="162"/>
      <c r="D1761" s="162"/>
      <c r="E1761" s="162"/>
      <c r="F1761" s="162"/>
      <c r="G1761" s="162"/>
      <c r="H1761" s="162"/>
      <c r="I1761" s="162"/>
      <c r="J1761" s="163"/>
      <c r="K1761" s="163"/>
      <c r="L1761" s="163"/>
    </row>
    <row r="1762" spans="1:12" ht="15">
      <c r="A1762" s="161"/>
      <c r="B1762" s="161"/>
      <c r="C1762" s="162"/>
      <c r="D1762" s="162"/>
      <c r="E1762" s="162"/>
      <c r="F1762" s="162"/>
      <c r="G1762" s="162"/>
      <c r="H1762" s="162"/>
      <c r="I1762" s="162"/>
      <c r="J1762" s="163"/>
      <c r="K1762" s="163"/>
      <c r="L1762" s="163"/>
    </row>
    <row r="1763" spans="1:12" ht="15">
      <c r="A1763" s="161"/>
      <c r="B1763" s="161"/>
      <c r="C1763" s="162"/>
      <c r="D1763" s="162"/>
      <c r="E1763" s="162"/>
      <c r="F1763" s="162"/>
      <c r="G1763" s="162"/>
      <c r="H1763" s="162"/>
      <c r="I1763" s="162"/>
      <c r="J1763" s="163"/>
      <c r="K1763" s="163"/>
      <c r="L1763" s="163"/>
    </row>
    <row r="1764" spans="1:12" ht="15">
      <c r="A1764" s="161"/>
      <c r="B1764" s="161"/>
      <c r="C1764" s="162"/>
      <c r="D1764" s="162"/>
      <c r="E1764" s="162"/>
      <c r="F1764" s="162"/>
      <c r="G1764" s="162"/>
      <c r="H1764" s="162"/>
      <c r="I1764" s="162"/>
      <c r="J1764" s="163"/>
      <c r="K1764" s="163"/>
      <c r="L1764" s="163"/>
    </row>
    <row r="1765" spans="1:12">
      <c r="J1765" s="82">
        <v>632905897.89999998</v>
      </c>
      <c r="K1765" s="159">
        <f>627379898.9+K1755</f>
        <v>643466898.89999998</v>
      </c>
      <c r="L1765" s="159">
        <f>623724598.9+L1755</f>
        <v>656552598.89999998</v>
      </c>
    </row>
    <row r="1766" spans="1:12">
      <c r="J1766" s="82">
        <v>5000000</v>
      </c>
      <c r="K1766" s="160"/>
      <c r="L1766" s="160"/>
    </row>
    <row r="1767" spans="1:12">
      <c r="J1767" s="82">
        <v>337242104.04000002</v>
      </c>
      <c r="K1767" s="159">
        <v>256868266.62</v>
      </c>
      <c r="L1767" s="159">
        <v>265911753.78</v>
      </c>
    </row>
    <row r="1768" spans="1:12">
      <c r="J1768" s="82">
        <f>SUM(J1765:J1767)</f>
        <v>975148001.94000006</v>
      </c>
      <c r="K1768" s="82">
        <f t="shared" ref="K1768:L1768" si="1506">SUM(K1765:K1767)</f>
        <v>900335165.51999998</v>
      </c>
      <c r="L1768" s="82">
        <f t="shared" si="1506"/>
        <v>922464352.67999995</v>
      </c>
    </row>
    <row r="1769" spans="1:12">
      <c r="J1769" s="82">
        <f>J1756-J1768</f>
        <v>0</v>
      </c>
      <c r="K1769" s="82">
        <f>K1756-K1768</f>
        <v>0</v>
      </c>
      <c r="L1769" s="82">
        <f>L1756-L1768</f>
        <v>0</v>
      </c>
    </row>
    <row r="1789" spans="1:1">
      <c r="A1789" s="64"/>
    </row>
    <row r="1791" spans="1:1">
      <c r="A1791" s="64"/>
    </row>
  </sheetData>
  <mergeCells count="13">
    <mergeCell ref="S13:U13"/>
    <mergeCell ref="V13:X13"/>
    <mergeCell ref="A11:X11"/>
    <mergeCell ref="M13:O13"/>
    <mergeCell ref="P13:R13"/>
    <mergeCell ref="E15:H15"/>
    <mergeCell ref="J13:L13"/>
    <mergeCell ref="A13:A14"/>
    <mergeCell ref="B13:B14"/>
    <mergeCell ref="C13:C14"/>
    <mergeCell ref="D13:D14"/>
    <mergeCell ref="E13:H14"/>
    <mergeCell ref="I13:I14"/>
  </mergeCells>
  <phoneticPr fontId="0" type="noConversion"/>
  <pageMargins left="0.59055118110236227" right="0.19685039370078741" top="0.39370078740157483" bottom="0.39370078740157483" header="0.15748031496062992" footer="0.19685039370078741"/>
  <pageSetup paperSize="9" scale="56" firstPageNumber="58" fitToHeight="99" orientation="portrait" r:id="rId1"/>
  <headerFooter alignWithMargins="0">
    <oddFooter>&amp;C&amp;P</oddFooter>
  </headerFooter>
  <rowBreaks count="2" manualBreakCount="2">
    <brk id="136" max="24" man="1"/>
    <brk id="204" max="2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разд,подр</vt:lpstr>
      <vt:lpstr>ведомств</vt:lpstr>
      <vt:lpstr>ведомств!Заголовки_для_печати</vt:lpstr>
      <vt:lpstr>'разд,подр'!Заголовки_для_печати</vt:lpstr>
      <vt:lpstr>ведомств!Область_печати</vt:lpstr>
      <vt:lpstr>'разд,подр'!Область_печати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Punyagov</dc:creator>
  <cp:lastModifiedBy>семакова</cp:lastModifiedBy>
  <cp:lastPrinted>2023-04-11T06:53:35Z</cp:lastPrinted>
  <dcterms:created xsi:type="dcterms:W3CDTF">2007-08-13T07:10:11Z</dcterms:created>
  <dcterms:modified xsi:type="dcterms:W3CDTF">2023-04-11T06:53:36Z</dcterms:modified>
</cp:coreProperties>
</file>