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" yWindow="15" windowWidth="20730" windowHeight="11760"/>
  </bookViews>
  <sheets>
    <sheet name="разд,подр" sheetId="6" r:id="rId1"/>
    <sheet name="ведомств" sheetId="5" r:id="rId2"/>
  </sheets>
  <definedNames>
    <definedName name="_xlnm._FilterDatabase" localSheetId="1" hidden="1">ведомств!$A$11:$J$11</definedName>
    <definedName name="_xlnm.Print_Titles" localSheetId="1">ведомств!$8:$9</definedName>
    <definedName name="_xlnm.Print_Titles" localSheetId="0">'разд,подр'!$8:$9</definedName>
    <definedName name="_xlnm.Print_Area" localSheetId="1">ведомств!$A$1:$L$705</definedName>
    <definedName name="_xlnm.Print_Area" localSheetId="0">'разд,подр'!$A$1:$F$78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63" i="5"/>
  <c r="L663"/>
  <c r="J663"/>
  <c r="L325" l="1"/>
  <c r="K325"/>
  <c r="J325"/>
  <c r="F77" i="6" l="1"/>
  <c r="E77"/>
  <c r="L370" i="5" l="1"/>
  <c r="J718"/>
  <c r="L715"/>
  <c r="L718" s="1"/>
  <c r="K715"/>
  <c r="K718" s="1"/>
  <c r="L605"/>
  <c r="K605"/>
  <c r="J605"/>
  <c r="L583"/>
  <c r="K583"/>
  <c r="J583"/>
  <c r="L447"/>
  <c r="K447"/>
  <c r="J447"/>
  <c r="L374"/>
  <c r="K374"/>
  <c r="J374"/>
  <c r="L372"/>
  <c r="K372"/>
  <c r="J372"/>
  <c r="K370"/>
  <c r="J370"/>
  <c r="K480" l="1"/>
  <c r="K479" s="1"/>
  <c r="L480"/>
  <c r="L479" s="1"/>
  <c r="J480"/>
  <c r="J479" s="1"/>
  <c r="K494" l="1"/>
  <c r="K646" l="1"/>
  <c r="K645" s="1"/>
  <c r="K644" s="1"/>
  <c r="L646"/>
  <c r="L645" s="1"/>
  <c r="L644" s="1"/>
  <c r="J646"/>
  <c r="J645" l="1"/>
  <c r="J644" s="1"/>
  <c r="K619" l="1"/>
  <c r="K618" s="1"/>
  <c r="L619"/>
  <c r="L618" s="1"/>
  <c r="J619"/>
  <c r="J618" s="1"/>
  <c r="K613" l="1"/>
  <c r="K612" s="1"/>
  <c r="L613"/>
  <c r="L612" s="1"/>
  <c r="J613"/>
  <c r="J612" s="1"/>
  <c r="K616"/>
  <c r="K615" s="1"/>
  <c r="L616"/>
  <c r="L615" s="1"/>
  <c r="J616"/>
  <c r="J615" s="1"/>
  <c r="K596"/>
  <c r="K595" s="1"/>
  <c r="L596"/>
  <c r="L595" s="1"/>
  <c r="J596"/>
  <c r="J595" s="1"/>
  <c r="K592"/>
  <c r="K591" s="1"/>
  <c r="K590" s="1"/>
  <c r="L592"/>
  <c r="L591" s="1"/>
  <c r="L590" s="1"/>
  <c r="J592"/>
  <c r="J591" s="1"/>
  <c r="J590" s="1"/>
  <c r="K599"/>
  <c r="K598" s="1"/>
  <c r="L599"/>
  <c r="L598" s="1"/>
  <c r="J599"/>
  <c r="J598" s="1"/>
  <c r="L604"/>
  <c r="J604"/>
  <c r="K606"/>
  <c r="L606"/>
  <c r="K604"/>
  <c r="K602"/>
  <c r="L602"/>
  <c r="J606"/>
  <c r="J602"/>
  <c r="K579"/>
  <c r="K578" s="1"/>
  <c r="L579"/>
  <c r="L578" s="1"/>
  <c r="J579"/>
  <c r="J578" s="1"/>
  <c r="K582"/>
  <c r="K581" s="1"/>
  <c r="L582"/>
  <c r="L581" s="1"/>
  <c r="J582"/>
  <c r="J581" s="1"/>
  <c r="K539"/>
  <c r="K538" s="1"/>
  <c r="K537" s="1"/>
  <c r="L539"/>
  <c r="L538" s="1"/>
  <c r="L537" s="1"/>
  <c r="J539"/>
  <c r="J538" s="1"/>
  <c r="J537" s="1"/>
  <c r="K511"/>
  <c r="L511"/>
  <c r="K509"/>
  <c r="L509"/>
  <c r="K507"/>
  <c r="L507"/>
  <c r="J511"/>
  <c r="J509"/>
  <c r="J507"/>
  <c r="L496"/>
  <c r="L495" s="1"/>
  <c r="K496"/>
  <c r="K495" s="1"/>
  <c r="J496"/>
  <c r="J495" s="1"/>
  <c r="L494"/>
  <c r="L493" s="1"/>
  <c r="K493"/>
  <c r="J494"/>
  <c r="J493" s="1"/>
  <c r="K497"/>
  <c r="L497"/>
  <c r="J497"/>
  <c r="K484"/>
  <c r="K483" s="1"/>
  <c r="K482" s="1"/>
  <c r="L484"/>
  <c r="L483" s="1"/>
  <c r="L482" s="1"/>
  <c r="J484"/>
  <c r="J483" s="1"/>
  <c r="J482" s="1"/>
  <c r="K464"/>
  <c r="K463" s="1"/>
  <c r="K462" s="1"/>
  <c r="L464"/>
  <c r="L463" s="1"/>
  <c r="L462" s="1"/>
  <c r="J464"/>
  <c r="J463" s="1"/>
  <c r="J462" s="1"/>
  <c r="K611" l="1"/>
  <c r="J611"/>
  <c r="L611"/>
  <c r="K577"/>
  <c r="J577"/>
  <c r="K601"/>
  <c r="K594" s="1"/>
  <c r="J601"/>
  <c r="J594" s="1"/>
  <c r="L577"/>
  <c r="L601"/>
  <c r="L594" s="1"/>
  <c r="J506"/>
  <c r="L506"/>
  <c r="K506"/>
  <c r="J492"/>
  <c r="L492"/>
  <c r="K492"/>
  <c r="K468" l="1"/>
  <c r="L468"/>
  <c r="J468"/>
  <c r="K452" l="1"/>
  <c r="K451" s="1"/>
  <c r="L452"/>
  <c r="L451" s="1"/>
  <c r="J452"/>
  <c r="J451" s="1"/>
  <c r="K446"/>
  <c r="K445" s="1"/>
  <c r="L446"/>
  <c r="L445" s="1"/>
  <c r="J446"/>
  <c r="J445" s="1"/>
  <c r="K443"/>
  <c r="K442" s="1"/>
  <c r="L443"/>
  <c r="L442" s="1"/>
  <c r="J443"/>
  <c r="J442" s="1"/>
  <c r="L404"/>
  <c r="K404"/>
  <c r="J404"/>
  <c r="K327" l="1"/>
  <c r="K326" s="1"/>
  <c r="L327"/>
  <c r="L326" s="1"/>
  <c r="J327"/>
  <c r="J326" s="1"/>
  <c r="K321"/>
  <c r="K320" s="1"/>
  <c r="L321"/>
  <c r="L320" s="1"/>
  <c r="J321"/>
  <c r="J320" s="1"/>
  <c r="K317"/>
  <c r="K316" s="1"/>
  <c r="K315" s="1"/>
  <c r="K314" s="1"/>
  <c r="L317"/>
  <c r="L316" s="1"/>
  <c r="L315" s="1"/>
  <c r="L314" s="1"/>
  <c r="J317"/>
  <c r="J316" s="1"/>
  <c r="J315" s="1"/>
  <c r="J314" s="1"/>
  <c r="K299"/>
  <c r="K298" s="1"/>
  <c r="L299"/>
  <c r="L298" s="1"/>
  <c r="J299"/>
  <c r="J298" s="1"/>
  <c r="L275" l="1"/>
  <c r="K275"/>
  <c r="J275"/>
  <c r="L272"/>
  <c r="K272"/>
  <c r="J272"/>
  <c r="L197"/>
  <c r="K197"/>
  <c r="J197"/>
  <c r="J190"/>
  <c r="L157"/>
  <c r="K157"/>
  <c r="J157"/>
  <c r="L141"/>
  <c r="K141"/>
  <c r="J141"/>
  <c r="K117" l="1"/>
  <c r="K116" s="1"/>
  <c r="K115" s="1"/>
  <c r="K114" s="1"/>
  <c r="K113" s="1"/>
  <c r="L117"/>
  <c r="L116" s="1"/>
  <c r="L115" s="1"/>
  <c r="L114" s="1"/>
  <c r="L113" s="1"/>
  <c r="J117"/>
  <c r="J116" s="1"/>
  <c r="J115" s="1"/>
  <c r="J114" s="1"/>
  <c r="J113" s="1"/>
  <c r="L98" l="1"/>
  <c r="K98"/>
  <c r="J98"/>
  <c r="K94" l="1"/>
  <c r="J94"/>
  <c r="L79"/>
  <c r="K79"/>
  <c r="J79"/>
  <c r="J57"/>
  <c r="L63" l="1"/>
  <c r="K63"/>
  <c r="J63"/>
  <c r="L40" l="1"/>
  <c r="K40"/>
  <c r="J40"/>
  <c r="K25"/>
  <c r="K24" s="1"/>
  <c r="K23" s="1"/>
  <c r="L25"/>
  <c r="L24" s="1"/>
  <c r="L23" s="1"/>
  <c r="J25"/>
  <c r="J24" s="1"/>
  <c r="J23" s="1"/>
  <c r="L22"/>
  <c r="L21" s="1"/>
  <c r="L20" s="1"/>
  <c r="L19" s="1"/>
  <c r="K22"/>
  <c r="K21" s="1"/>
  <c r="K20" s="1"/>
  <c r="K19" s="1"/>
  <c r="J22"/>
  <c r="J21" s="1"/>
  <c r="J20" s="1"/>
  <c r="J19" s="1"/>
  <c r="L390" l="1"/>
  <c r="L389" s="1"/>
  <c r="K390"/>
  <c r="K389" s="1"/>
  <c r="J390"/>
  <c r="J389"/>
  <c r="L385"/>
  <c r="K385"/>
  <c r="J385"/>
  <c r="L380"/>
  <c r="K380"/>
  <c r="J380"/>
  <c r="L284"/>
  <c r="K284"/>
  <c r="J284"/>
  <c r="K411" l="1"/>
  <c r="K410" s="1"/>
  <c r="L411"/>
  <c r="L410" s="1"/>
  <c r="J411"/>
  <c r="J410" s="1"/>
  <c r="K458"/>
  <c r="K457" s="1"/>
  <c r="L458"/>
  <c r="L457" s="1"/>
  <c r="J458"/>
  <c r="J457" s="1"/>
  <c r="K501"/>
  <c r="K500" s="1"/>
  <c r="L501"/>
  <c r="L500" s="1"/>
  <c r="J501"/>
  <c r="J500" s="1"/>
  <c r="K514"/>
  <c r="K513" s="1"/>
  <c r="K505" s="1"/>
  <c r="L514"/>
  <c r="L513" s="1"/>
  <c r="L505" s="1"/>
  <c r="J514"/>
  <c r="J513" s="1"/>
  <c r="J505" s="1"/>
  <c r="K588"/>
  <c r="K587" s="1"/>
  <c r="K586" s="1"/>
  <c r="K585" s="1"/>
  <c r="L588"/>
  <c r="L587" s="1"/>
  <c r="L586" s="1"/>
  <c r="L585" s="1"/>
  <c r="J588"/>
  <c r="J587" s="1"/>
  <c r="J586" s="1"/>
  <c r="K566"/>
  <c r="K565" s="1"/>
  <c r="L566"/>
  <c r="L565" s="1"/>
  <c r="J566"/>
  <c r="J565" s="1"/>
  <c r="K71"/>
  <c r="K70" s="1"/>
  <c r="L71"/>
  <c r="L70" s="1"/>
  <c r="J71"/>
  <c r="J70" s="1"/>
  <c r="J585" l="1"/>
  <c r="D40" i="6" s="1"/>
  <c r="F40"/>
  <c r="E40"/>
  <c r="K427" i="5"/>
  <c r="K426" s="1"/>
  <c r="L427"/>
  <c r="L426" s="1"/>
  <c r="J427"/>
  <c r="J426" s="1"/>
  <c r="L435"/>
  <c r="L434" s="1"/>
  <c r="K435"/>
  <c r="K434" s="1"/>
  <c r="J435"/>
  <c r="J434" s="1"/>
  <c r="K436"/>
  <c r="L436"/>
  <c r="J436"/>
  <c r="L248"/>
  <c r="K248"/>
  <c r="J248"/>
  <c r="L246"/>
  <c r="K246"/>
  <c r="J246"/>
  <c r="L241"/>
  <c r="K241"/>
  <c r="J241"/>
  <c r="L239"/>
  <c r="K239"/>
  <c r="J239"/>
  <c r="L232"/>
  <c r="K232"/>
  <c r="J232"/>
  <c r="J449"/>
  <c r="J448" s="1"/>
  <c r="K449"/>
  <c r="K448" s="1"/>
  <c r="L449"/>
  <c r="L448" s="1"/>
  <c r="K90"/>
  <c r="K89" s="1"/>
  <c r="L90"/>
  <c r="L89" s="1"/>
  <c r="J90"/>
  <c r="J89" s="1"/>
  <c r="L433" l="1"/>
  <c r="L432" s="1"/>
  <c r="L431" s="1"/>
  <c r="L430" s="1"/>
  <c r="K245"/>
  <c r="K244" s="1"/>
  <c r="K238"/>
  <c r="J245"/>
  <c r="J244" s="1"/>
  <c r="L245"/>
  <c r="L244" s="1"/>
  <c r="K433"/>
  <c r="K432" s="1"/>
  <c r="K431" s="1"/>
  <c r="K430" s="1"/>
  <c r="J238"/>
  <c r="L238"/>
  <c r="J433"/>
  <c r="E23" i="6" l="1"/>
  <c r="J432" i="5"/>
  <c r="J431" s="1"/>
  <c r="D23" i="6" s="1"/>
  <c r="F23" l="1"/>
  <c r="J430" i="5" l="1"/>
  <c r="K416" l="1"/>
  <c r="K415" s="1"/>
  <c r="K414" s="1"/>
  <c r="K413" s="1"/>
  <c r="L416"/>
  <c r="L415" s="1"/>
  <c r="L414" s="1"/>
  <c r="L413" s="1"/>
  <c r="J416"/>
  <c r="J415" s="1"/>
  <c r="J414" s="1"/>
  <c r="J413" s="1"/>
  <c r="K651"/>
  <c r="K650" s="1"/>
  <c r="L651"/>
  <c r="L650" s="1"/>
  <c r="K654"/>
  <c r="K653" s="1"/>
  <c r="L654"/>
  <c r="L653" s="1"/>
  <c r="J654"/>
  <c r="J651"/>
  <c r="K649" l="1"/>
  <c r="K648" s="1"/>
  <c r="L649"/>
  <c r="L648" s="1"/>
  <c r="J653"/>
  <c r="J650"/>
  <c r="J649" l="1"/>
  <c r="J648" s="1"/>
  <c r="E72" i="6"/>
  <c r="F72"/>
  <c r="L351" i="5"/>
  <c r="L350" s="1"/>
  <c r="L349" s="1"/>
  <c r="K351"/>
  <c r="K350" s="1"/>
  <c r="K349" s="1"/>
  <c r="L345"/>
  <c r="L344" s="1"/>
  <c r="L343" s="1"/>
  <c r="L342" s="1"/>
  <c r="F19" i="6" s="1"/>
  <c r="K345" i="5"/>
  <c r="K344" s="1"/>
  <c r="K343" s="1"/>
  <c r="K342" s="1"/>
  <c r="E19" i="6" s="1"/>
  <c r="L339" i="5"/>
  <c r="K339"/>
  <c r="L337"/>
  <c r="K337"/>
  <c r="L678"/>
  <c r="L677" s="1"/>
  <c r="L676" s="1"/>
  <c r="L675" s="1"/>
  <c r="L674" s="1"/>
  <c r="L673" s="1"/>
  <c r="K678"/>
  <c r="K677" s="1"/>
  <c r="K676" s="1"/>
  <c r="K675" s="1"/>
  <c r="K674" s="1"/>
  <c r="L670"/>
  <c r="L669" s="1"/>
  <c r="L668" s="1"/>
  <c r="L667" s="1"/>
  <c r="K670"/>
  <c r="K669" s="1"/>
  <c r="K668" s="1"/>
  <c r="K667" s="1"/>
  <c r="L664"/>
  <c r="K664"/>
  <c r="L661"/>
  <c r="L660" s="1"/>
  <c r="K661"/>
  <c r="K660" s="1"/>
  <c r="L658"/>
  <c r="L657" s="1"/>
  <c r="K658"/>
  <c r="K657" s="1"/>
  <c r="L640"/>
  <c r="K640"/>
  <c r="L638"/>
  <c r="K638"/>
  <c r="L631"/>
  <c r="L630" s="1"/>
  <c r="L629" s="1"/>
  <c r="K631"/>
  <c r="K630" s="1"/>
  <c r="K629" s="1"/>
  <c r="L627"/>
  <c r="L626" s="1"/>
  <c r="L625" s="1"/>
  <c r="L624" s="1"/>
  <c r="K627"/>
  <c r="K626" s="1"/>
  <c r="K625" s="1"/>
  <c r="K624" s="1"/>
  <c r="L575"/>
  <c r="L574" s="1"/>
  <c r="L573" s="1"/>
  <c r="K575"/>
  <c r="K574" s="1"/>
  <c r="K573" s="1"/>
  <c r="L571"/>
  <c r="L570" s="1"/>
  <c r="L569" s="1"/>
  <c r="L568" s="1"/>
  <c r="K571"/>
  <c r="K570" s="1"/>
  <c r="K569" s="1"/>
  <c r="K568" s="1"/>
  <c r="L563"/>
  <c r="L562" s="1"/>
  <c r="K563"/>
  <c r="K562" s="1"/>
  <c r="L557"/>
  <c r="K557"/>
  <c r="L555"/>
  <c r="K555"/>
  <c r="L552"/>
  <c r="K552"/>
  <c r="L550"/>
  <c r="K550"/>
  <c r="L547"/>
  <c r="L546" s="1"/>
  <c r="K547"/>
  <c r="K546" s="1"/>
  <c r="L535"/>
  <c r="L534" s="1"/>
  <c r="K535"/>
  <c r="K534" s="1"/>
  <c r="L532"/>
  <c r="L531" s="1"/>
  <c r="K532"/>
  <c r="K531" s="1"/>
  <c r="L529"/>
  <c r="L528" s="1"/>
  <c r="K529"/>
  <c r="K528" s="1"/>
  <c r="L523"/>
  <c r="L522" s="1"/>
  <c r="L521" s="1"/>
  <c r="K523"/>
  <c r="K522" s="1"/>
  <c r="K521" s="1"/>
  <c r="L519"/>
  <c r="L518" s="1"/>
  <c r="L517" s="1"/>
  <c r="L516" s="1"/>
  <c r="K519"/>
  <c r="K518" s="1"/>
  <c r="K517" s="1"/>
  <c r="K516" s="1"/>
  <c r="L490"/>
  <c r="L489" s="1"/>
  <c r="L488" s="1"/>
  <c r="K490"/>
  <c r="K489" s="1"/>
  <c r="K488" s="1"/>
  <c r="L477"/>
  <c r="L476" s="1"/>
  <c r="K477"/>
  <c r="K476" s="1"/>
  <c r="L470"/>
  <c r="K470"/>
  <c r="L455"/>
  <c r="K455"/>
  <c r="L424"/>
  <c r="K424"/>
  <c r="L422"/>
  <c r="K422"/>
  <c r="L420"/>
  <c r="K420"/>
  <c r="L403"/>
  <c r="L402" s="1"/>
  <c r="L401" s="1"/>
  <c r="K403"/>
  <c r="K402" s="1"/>
  <c r="K401" s="1"/>
  <c r="L408"/>
  <c r="L407" s="1"/>
  <c r="K408"/>
  <c r="K407" s="1"/>
  <c r="L397"/>
  <c r="L396" s="1"/>
  <c r="L395" s="1"/>
  <c r="L394" s="1"/>
  <c r="F16" i="6" s="1"/>
  <c r="K397" i="5"/>
  <c r="K396" s="1"/>
  <c r="K395" s="1"/>
  <c r="K394" s="1"/>
  <c r="E16" i="6" s="1"/>
  <c r="L386" i="5"/>
  <c r="K386"/>
  <c r="L384"/>
  <c r="K384"/>
  <c r="L381"/>
  <c r="K381"/>
  <c r="L379"/>
  <c r="K379"/>
  <c r="L302"/>
  <c r="L301" s="1"/>
  <c r="K302"/>
  <c r="K301" s="1"/>
  <c r="L391"/>
  <c r="L388" s="1"/>
  <c r="K391"/>
  <c r="K388" s="1"/>
  <c r="L376"/>
  <c r="L375" s="1"/>
  <c r="K376"/>
  <c r="K375" s="1"/>
  <c r="L373"/>
  <c r="K373"/>
  <c r="L371"/>
  <c r="K371"/>
  <c r="L369"/>
  <c r="K369"/>
  <c r="L365"/>
  <c r="L364" s="1"/>
  <c r="L363" s="1"/>
  <c r="K365"/>
  <c r="K364" s="1"/>
  <c r="K363" s="1"/>
  <c r="L359"/>
  <c r="L358" s="1"/>
  <c r="L357" s="1"/>
  <c r="L356" s="1"/>
  <c r="F13" i="6" s="1"/>
  <c r="K359" i="5"/>
  <c r="K358" s="1"/>
  <c r="K357" s="1"/>
  <c r="K356" s="1"/>
  <c r="E13" i="6" s="1"/>
  <c r="L691" i="5"/>
  <c r="K691"/>
  <c r="L689"/>
  <c r="K689"/>
  <c r="L686"/>
  <c r="L685" s="1"/>
  <c r="K686"/>
  <c r="K685" s="1"/>
  <c r="L701"/>
  <c r="K701"/>
  <c r="L699"/>
  <c r="K699"/>
  <c r="L324"/>
  <c r="L323" s="1"/>
  <c r="L319" s="1"/>
  <c r="K324"/>
  <c r="K323" s="1"/>
  <c r="K319" s="1"/>
  <c r="L309"/>
  <c r="L308" s="1"/>
  <c r="L307" s="1"/>
  <c r="L306" s="1"/>
  <c r="L305" s="1"/>
  <c r="K309"/>
  <c r="K308" s="1"/>
  <c r="K307" s="1"/>
  <c r="K306" s="1"/>
  <c r="K305" s="1"/>
  <c r="L296"/>
  <c r="K296"/>
  <c r="L294"/>
  <c r="K294"/>
  <c r="L285"/>
  <c r="K285"/>
  <c r="L283"/>
  <c r="K283"/>
  <c r="L280"/>
  <c r="L279" s="1"/>
  <c r="K280"/>
  <c r="K279" s="1"/>
  <c r="L274"/>
  <c r="L273" s="1"/>
  <c r="K274"/>
  <c r="K273" s="1"/>
  <c r="L271"/>
  <c r="L270" s="1"/>
  <c r="K271"/>
  <c r="K270" s="1"/>
  <c r="L267"/>
  <c r="L266" s="1"/>
  <c r="L265" s="1"/>
  <c r="K267"/>
  <c r="K266" s="1"/>
  <c r="K265" s="1"/>
  <c r="L259"/>
  <c r="K259"/>
  <c r="L257"/>
  <c r="K257"/>
  <c r="L253"/>
  <c r="L252" s="1"/>
  <c r="L251" s="1"/>
  <c r="K253"/>
  <c r="K252" s="1"/>
  <c r="K251" s="1"/>
  <c r="L231"/>
  <c r="K231"/>
  <c r="L229"/>
  <c r="L228" s="1"/>
  <c r="K229"/>
  <c r="K228" s="1"/>
  <c r="L226"/>
  <c r="L225" s="1"/>
  <c r="K226"/>
  <c r="K225" s="1"/>
  <c r="L223"/>
  <c r="L222" s="1"/>
  <c r="K223"/>
  <c r="K222" s="1"/>
  <c r="L220"/>
  <c r="L219" s="1"/>
  <c r="K220"/>
  <c r="K219" s="1"/>
  <c r="L213"/>
  <c r="L212" s="1"/>
  <c r="L211" s="1"/>
  <c r="K213"/>
  <c r="K212" s="1"/>
  <c r="K211" s="1"/>
  <c r="L209"/>
  <c r="L208" s="1"/>
  <c r="L207" s="1"/>
  <c r="K209"/>
  <c r="K208" s="1"/>
  <c r="K207" s="1"/>
  <c r="L205"/>
  <c r="L204" s="1"/>
  <c r="K205"/>
  <c r="K204" s="1"/>
  <c r="L202"/>
  <c r="L201" s="1"/>
  <c r="K202"/>
  <c r="K201" s="1"/>
  <c r="L199"/>
  <c r="L198" s="1"/>
  <c r="K199"/>
  <c r="K198" s="1"/>
  <c r="L196"/>
  <c r="L195" s="1"/>
  <c r="K196"/>
  <c r="K195" s="1"/>
  <c r="L193"/>
  <c r="K193"/>
  <c r="L189"/>
  <c r="K189"/>
  <c r="L182"/>
  <c r="L181" s="1"/>
  <c r="L180" s="1"/>
  <c r="K182"/>
  <c r="K181" s="1"/>
  <c r="K180" s="1"/>
  <c r="L178"/>
  <c r="L177" s="1"/>
  <c r="L176" s="1"/>
  <c r="K178"/>
  <c r="K177" s="1"/>
  <c r="K176" s="1"/>
  <c r="L174"/>
  <c r="L173" s="1"/>
  <c r="K174"/>
  <c r="K173" s="1"/>
  <c r="L171"/>
  <c r="L170" s="1"/>
  <c r="K171"/>
  <c r="K170" s="1"/>
  <c r="L168"/>
  <c r="L167" s="1"/>
  <c r="K168"/>
  <c r="K167" s="1"/>
  <c r="L165"/>
  <c r="L164" s="1"/>
  <c r="K165"/>
  <c r="K164" s="1"/>
  <c r="L162"/>
  <c r="L161" s="1"/>
  <c r="K162"/>
  <c r="K161" s="1"/>
  <c r="L159"/>
  <c r="L158" s="1"/>
  <c r="K159"/>
  <c r="K158" s="1"/>
  <c r="L156"/>
  <c r="L155" s="1"/>
  <c r="K156"/>
  <c r="K155" s="1"/>
  <c r="L149"/>
  <c r="L148" s="1"/>
  <c r="K149"/>
  <c r="K148" s="1"/>
  <c r="L146"/>
  <c r="L145" s="1"/>
  <c r="K146"/>
  <c r="K145" s="1"/>
  <c r="L143"/>
  <c r="L142" s="1"/>
  <c r="K143"/>
  <c r="K142" s="1"/>
  <c r="L140"/>
  <c r="L139" s="1"/>
  <c r="K140"/>
  <c r="K139" s="1"/>
  <c r="L131"/>
  <c r="K131"/>
  <c r="L129"/>
  <c r="K129"/>
  <c r="L126"/>
  <c r="K126"/>
  <c r="L124"/>
  <c r="K124"/>
  <c r="L110"/>
  <c r="K110"/>
  <c r="L108"/>
  <c r="K108"/>
  <c r="L106"/>
  <c r="K106"/>
  <c r="L100"/>
  <c r="L99" s="1"/>
  <c r="K100"/>
  <c r="K99" s="1"/>
  <c r="L97"/>
  <c r="L96" s="1"/>
  <c r="K97"/>
  <c r="K96" s="1"/>
  <c r="L93"/>
  <c r="L92" s="1"/>
  <c r="K93"/>
  <c r="K92" s="1"/>
  <c r="L87"/>
  <c r="L86" s="1"/>
  <c r="K87"/>
  <c r="K86" s="1"/>
  <c r="L84"/>
  <c r="L83" s="1"/>
  <c r="K84"/>
  <c r="K83" s="1"/>
  <c r="L75"/>
  <c r="L74" s="1"/>
  <c r="K75"/>
  <c r="K74" s="1"/>
  <c r="L78"/>
  <c r="L77" s="1"/>
  <c r="K78"/>
  <c r="K77" s="1"/>
  <c r="L81"/>
  <c r="L80" s="1"/>
  <c r="K81"/>
  <c r="K80" s="1"/>
  <c r="L68"/>
  <c r="L67" s="1"/>
  <c r="K68"/>
  <c r="K67" s="1"/>
  <c r="L56"/>
  <c r="L55" s="1"/>
  <c r="K56"/>
  <c r="K55" s="1"/>
  <c r="L65"/>
  <c r="L64" s="1"/>
  <c r="K65"/>
  <c r="K64" s="1"/>
  <c r="L62"/>
  <c r="L61" s="1"/>
  <c r="K62"/>
  <c r="K61" s="1"/>
  <c r="L59"/>
  <c r="L58" s="1"/>
  <c r="K59"/>
  <c r="K58" s="1"/>
  <c r="L48"/>
  <c r="L47" s="1"/>
  <c r="L46" s="1"/>
  <c r="L45" s="1"/>
  <c r="K48"/>
  <c r="K47" s="1"/>
  <c r="K46" s="1"/>
  <c r="K45" s="1"/>
  <c r="L42"/>
  <c r="L41" s="1"/>
  <c r="K42"/>
  <c r="K41" s="1"/>
  <c r="L39"/>
  <c r="L38" s="1"/>
  <c r="K39"/>
  <c r="K38" s="1"/>
  <c r="L36"/>
  <c r="L35" s="1"/>
  <c r="K36"/>
  <c r="K35" s="1"/>
  <c r="L33"/>
  <c r="L32" s="1"/>
  <c r="K33"/>
  <c r="K32" s="1"/>
  <c r="L17"/>
  <c r="L16" s="1"/>
  <c r="K17"/>
  <c r="K16" s="1"/>
  <c r="L527" l="1"/>
  <c r="L526" s="1"/>
  <c r="K475"/>
  <c r="K474" s="1"/>
  <c r="E32" i="6" s="1"/>
  <c r="L475" i="5"/>
  <c r="L474" s="1"/>
  <c r="F32" i="6" s="1"/>
  <c r="L610" i="5"/>
  <c r="L609" s="1"/>
  <c r="K610"/>
  <c r="K609" s="1"/>
  <c r="K527"/>
  <c r="K526" s="1"/>
  <c r="E35" i="6" s="1"/>
  <c r="L467" i="5"/>
  <c r="L466" s="1"/>
  <c r="K467"/>
  <c r="K466" s="1"/>
  <c r="K313"/>
  <c r="K312" s="1"/>
  <c r="L313"/>
  <c r="L312" s="1"/>
  <c r="L15"/>
  <c r="K15"/>
  <c r="L138"/>
  <c r="L137" s="1"/>
  <c r="L136" s="1"/>
  <c r="F48" i="6" s="1"/>
  <c r="K138" i="5"/>
  <c r="K137" s="1"/>
  <c r="K136" s="1"/>
  <c r="E48" i="6" s="1"/>
  <c r="L73" i="5"/>
  <c r="K73"/>
  <c r="L188"/>
  <c r="L187" s="1"/>
  <c r="L186" s="1"/>
  <c r="L185" s="1"/>
  <c r="K406"/>
  <c r="K405" s="1"/>
  <c r="L406"/>
  <c r="L405" s="1"/>
  <c r="L54"/>
  <c r="K561"/>
  <c r="K560" s="1"/>
  <c r="L561"/>
  <c r="L560" s="1"/>
  <c r="L454"/>
  <c r="L441" s="1"/>
  <c r="K54"/>
  <c r="K454"/>
  <c r="K441" s="1"/>
  <c r="L549"/>
  <c r="L348"/>
  <c r="K348"/>
  <c r="L218"/>
  <c r="L217" s="1"/>
  <c r="L216" s="1"/>
  <c r="F51" i="6" s="1"/>
  <c r="L256" i="5"/>
  <c r="L255" s="1"/>
  <c r="L282"/>
  <c r="L278" s="1"/>
  <c r="L277" s="1"/>
  <c r="F65" i="6" s="1"/>
  <c r="L698" i="5"/>
  <c r="L697" s="1"/>
  <c r="L383"/>
  <c r="L504"/>
  <c r="F34" i="6" s="1"/>
  <c r="L31" i="5"/>
  <c r="L30" s="1"/>
  <c r="K656"/>
  <c r="K643" s="1"/>
  <c r="L419"/>
  <c r="L418" s="1"/>
  <c r="K549"/>
  <c r="K637"/>
  <c r="K636" s="1"/>
  <c r="K635" s="1"/>
  <c r="E62" i="6" s="1"/>
  <c r="L105" i="5"/>
  <c r="L104" s="1"/>
  <c r="L103" s="1"/>
  <c r="F56" i="6" s="1"/>
  <c r="K256" i="5"/>
  <c r="K255" s="1"/>
  <c r="K282"/>
  <c r="K278" s="1"/>
  <c r="K277" s="1"/>
  <c r="E65" i="6" s="1"/>
  <c r="K698" i="5"/>
  <c r="K697" s="1"/>
  <c r="K419"/>
  <c r="K418" s="1"/>
  <c r="L336"/>
  <c r="L128"/>
  <c r="K105"/>
  <c r="K104" s="1"/>
  <c r="K103" s="1"/>
  <c r="E56" i="6" s="1"/>
  <c r="K123" i="5"/>
  <c r="K188"/>
  <c r="K187" s="1"/>
  <c r="K186" s="1"/>
  <c r="K185" s="1"/>
  <c r="K623"/>
  <c r="K622" s="1"/>
  <c r="E59" i="6" s="1"/>
  <c r="E58" s="1"/>
  <c r="K95" i="5"/>
  <c r="K504"/>
  <c r="E34" i="6" s="1"/>
  <c r="K383" i="5"/>
  <c r="K128"/>
  <c r="L554"/>
  <c r="F76" i="6"/>
  <c r="F75" s="1"/>
  <c r="E22"/>
  <c r="L95" i="5"/>
  <c r="L623"/>
  <c r="L622" s="1"/>
  <c r="F59" i="6" s="1"/>
  <c r="F58" s="1"/>
  <c r="L269" i="5"/>
  <c r="L264" s="1"/>
  <c r="L263" s="1"/>
  <c r="F64" i="6" s="1"/>
  <c r="K673" i="5"/>
  <c r="E76" i="6"/>
  <c r="E75" s="1"/>
  <c r="F22"/>
  <c r="K31" i="5"/>
  <c r="K30" s="1"/>
  <c r="K29" s="1"/>
  <c r="K218"/>
  <c r="K217" s="1"/>
  <c r="K216" s="1"/>
  <c r="E51" i="6" s="1"/>
  <c r="K269" i="5"/>
  <c r="K264" s="1"/>
  <c r="K263" s="1"/>
  <c r="E64" i="6" s="1"/>
  <c r="F35"/>
  <c r="L123" i="5"/>
  <c r="K154"/>
  <c r="K153" s="1"/>
  <c r="K152" s="1"/>
  <c r="E49" i="6" s="1"/>
  <c r="K237" i="5"/>
  <c r="K236" s="1"/>
  <c r="K293"/>
  <c r="K292" s="1"/>
  <c r="K688"/>
  <c r="K684" s="1"/>
  <c r="K683" s="1"/>
  <c r="K368"/>
  <c r="K378"/>
  <c r="L637"/>
  <c r="L636" s="1"/>
  <c r="L635" s="1"/>
  <c r="L656"/>
  <c r="L643" s="1"/>
  <c r="L237"/>
  <c r="L236" s="1"/>
  <c r="L293"/>
  <c r="L292" s="1"/>
  <c r="L688"/>
  <c r="L684" s="1"/>
  <c r="L683" s="1"/>
  <c r="L368"/>
  <c r="L378"/>
  <c r="K554"/>
  <c r="K336"/>
  <c r="L154"/>
  <c r="L153" s="1"/>
  <c r="L152" s="1"/>
  <c r="F49" i="6" s="1"/>
  <c r="K14" i="5" l="1"/>
  <c r="K13" s="1"/>
  <c r="L14"/>
  <c r="L13" s="1"/>
  <c r="E45" i="6"/>
  <c r="E43" s="1"/>
  <c r="K461" i="5"/>
  <c r="E29" i="6" s="1"/>
  <c r="L461" i="5"/>
  <c r="F29" i="6" s="1"/>
  <c r="K400" i="5"/>
  <c r="L400"/>
  <c r="L545"/>
  <c r="L544" s="1"/>
  <c r="L543" s="1"/>
  <c r="K53"/>
  <c r="K52" s="1"/>
  <c r="L53"/>
  <c r="L52" s="1"/>
  <c r="F55" i="6" s="1"/>
  <c r="F54" s="1"/>
  <c r="K440" i="5"/>
  <c r="K487"/>
  <c r="E33" i="6" s="1"/>
  <c r="E31" s="1"/>
  <c r="L440" i="5"/>
  <c r="L487"/>
  <c r="F33" i="6" s="1"/>
  <c r="F31" s="1"/>
  <c r="E39"/>
  <c r="F39"/>
  <c r="L29" i="5"/>
  <c r="L28" s="1"/>
  <c r="L367"/>
  <c r="L362" s="1"/>
  <c r="F15" i="6" s="1"/>
  <c r="K367" i="5"/>
  <c r="K362" s="1"/>
  <c r="E15" i="6" s="1"/>
  <c r="F63"/>
  <c r="L122" i="5"/>
  <c r="L121" s="1"/>
  <c r="L120" s="1"/>
  <c r="K634"/>
  <c r="L696"/>
  <c r="L695" s="1"/>
  <c r="L694" s="1"/>
  <c r="L291"/>
  <c r="L290" s="1"/>
  <c r="L289" s="1"/>
  <c r="K291"/>
  <c r="K290" s="1"/>
  <c r="K289" s="1"/>
  <c r="L335"/>
  <c r="K335"/>
  <c r="K122"/>
  <c r="K121" s="1"/>
  <c r="K120" s="1"/>
  <c r="K545"/>
  <c r="K544" s="1"/>
  <c r="K543" s="1"/>
  <c r="K696"/>
  <c r="K695" s="1"/>
  <c r="K694" s="1"/>
  <c r="K235"/>
  <c r="E52" i="6" s="1"/>
  <c r="K262" i="5"/>
  <c r="L682"/>
  <c r="L681" s="1"/>
  <c r="F14" i="6"/>
  <c r="K682" i="5"/>
  <c r="K681" s="1"/>
  <c r="E14" i="6"/>
  <c r="L262" i="5"/>
  <c r="L235"/>
  <c r="F52" i="6" s="1"/>
  <c r="F62"/>
  <c r="F45"/>
  <c r="F43" s="1"/>
  <c r="K28" i="5"/>
  <c r="E50" i="6"/>
  <c r="F38" l="1"/>
  <c r="F37" s="1"/>
  <c r="K542" i="5"/>
  <c r="E47" i="6"/>
  <c r="F50"/>
  <c r="K439" i="5"/>
  <c r="E28" i="6"/>
  <c r="E25" s="1"/>
  <c r="L439" i="5"/>
  <c r="F28" i="6"/>
  <c r="F25" s="1"/>
  <c r="K334" i="5"/>
  <c r="K333" s="1"/>
  <c r="L634"/>
  <c r="L334"/>
  <c r="L333" s="1"/>
  <c r="L331" s="1"/>
  <c r="L330" s="1"/>
  <c r="K135"/>
  <c r="K134" s="1"/>
  <c r="L135"/>
  <c r="L134" s="1"/>
  <c r="F68" i="6"/>
  <c r="F67" s="1"/>
  <c r="L473" i="5"/>
  <c r="E20" i="6"/>
  <c r="F20"/>
  <c r="L51" i="5"/>
  <c r="L12" s="1"/>
  <c r="E63" i="6"/>
  <c r="E61" s="1"/>
  <c r="K473" i="5"/>
  <c r="E68" i="6"/>
  <c r="E67" s="1"/>
  <c r="F61"/>
  <c r="L355" i="5"/>
  <c r="K51"/>
  <c r="K12" s="1"/>
  <c r="E55" i="6"/>
  <c r="E54" s="1"/>
  <c r="K355" i="5"/>
  <c r="E38" i="6" l="1"/>
  <c r="E37" s="1"/>
  <c r="K707" i="5"/>
  <c r="L707"/>
  <c r="L542"/>
  <c r="L354" s="1"/>
  <c r="L705" s="1"/>
  <c r="L719" s="1"/>
  <c r="K354"/>
  <c r="F47" i="6"/>
  <c r="E17"/>
  <c r="E12" s="1"/>
  <c r="E78" s="1"/>
  <c r="K331" i="5"/>
  <c r="K330" s="1"/>
  <c r="F17" i="6"/>
  <c r="F12" s="1"/>
  <c r="J296" i="5"/>
  <c r="J294"/>
  <c r="F78" i="6" l="1"/>
  <c r="K705" i="5"/>
  <c r="K719" s="1"/>
  <c r="J293"/>
  <c r="J571" l="1"/>
  <c r="J570" s="1"/>
  <c r="J569" s="1"/>
  <c r="J568" s="1"/>
  <c r="J519"/>
  <c r="J563" l="1"/>
  <c r="J562" s="1"/>
  <c r="J561" s="1"/>
  <c r="J664" l="1"/>
  <c r="J518"/>
  <c r="J517" s="1"/>
  <c r="J516" s="1"/>
  <c r="J309"/>
  <c r="J308" s="1"/>
  <c r="J307" s="1"/>
  <c r="J306" s="1"/>
  <c r="J305" s="1"/>
  <c r="J490"/>
  <c r="J489" s="1"/>
  <c r="J488" s="1"/>
  <c r="J557" l="1"/>
  <c r="J552"/>
  <c r="J87" l="1"/>
  <c r="J93"/>
  <c r="J92" s="1"/>
  <c r="J86" l="1"/>
  <c r="J631" l="1"/>
  <c r="J220" l="1"/>
  <c r="J219" l="1"/>
  <c r="J555" l="1"/>
  <c r="J554" s="1"/>
  <c r="J550"/>
  <c r="J549" s="1"/>
  <c r="J174" l="1"/>
  <c r="J173" s="1"/>
  <c r="J640" l="1"/>
  <c r="J193" l="1"/>
  <c r="J189"/>
  <c r="J205"/>
  <c r="J204" s="1"/>
  <c r="J202"/>
  <c r="J201" s="1"/>
  <c r="J171"/>
  <c r="J170" s="1"/>
  <c r="J149"/>
  <c r="J148" s="1"/>
  <c r="J188" l="1"/>
  <c r="J213"/>
  <c r="J212" s="1"/>
  <c r="J211" l="1"/>
  <c r="J424" l="1"/>
  <c r="J271" l="1"/>
  <c r="J270" s="1"/>
  <c r="J165"/>
  <c r="J164" s="1"/>
  <c r="J351" l="1"/>
  <c r="J350" l="1"/>
  <c r="J455"/>
  <c r="J373"/>
  <c r="J349" l="1"/>
  <c r="J348" s="1"/>
  <c r="J454"/>
  <c r="J441" s="1"/>
  <c r="J386"/>
  <c r="J440" l="1"/>
  <c r="J532"/>
  <c r="D28" i="6" l="1"/>
  <c r="J531" i="5"/>
  <c r="J131" l="1"/>
  <c r="J126"/>
  <c r="J110" l="1"/>
  <c r="J229" l="1"/>
  <c r="J159"/>
  <c r="J143"/>
  <c r="J575"/>
  <c r="J142" l="1"/>
  <c r="J228"/>
  <c r="J158"/>
  <c r="J574"/>
  <c r="J573" l="1"/>
  <c r="J560" s="1"/>
  <c r="D39" i="6" l="1"/>
  <c r="J658" i="5"/>
  <c r="J638"/>
  <c r="J627"/>
  <c r="J626" l="1"/>
  <c r="J625" l="1"/>
  <c r="J624" s="1"/>
  <c r="J381" l="1"/>
  <c r="J56" l="1"/>
  <c r="J55" l="1"/>
  <c r="J81"/>
  <c r="J80" l="1"/>
  <c r="J403" l="1"/>
  <c r="J324"/>
  <c r="J323" s="1"/>
  <c r="J319" s="1"/>
  <c r="J535"/>
  <c r="J402" l="1"/>
  <c r="J534"/>
  <c r="J547"/>
  <c r="J408"/>
  <c r="J401" l="1"/>
  <c r="J546"/>
  <c r="J545" s="1"/>
  <c r="J407"/>
  <c r="J406" s="1"/>
  <c r="J610" l="1"/>
  <c r="J609" s="1"/>
  <c r="J313"/>
  <c r="J312" s="1"/>
  <c r="J544"/>
  <c r="J543" s="1"/>
  <c r="J405"/>
  <c r="D38" i="6" l="1"/>
  <c r="J542" i="5"/>
  <c r="D45" i="6"/>
  <c r="J75" i="5"/>
  <c r="J33"/>
  <c r="D43" i="6" l="1"/>
  <c r="J74" i="5"/>
  <c r="J32"/>
  <c r="D37" i="6" l="1"/>
  <c r="J359" i="5"/>
  <c r="J358" l="1"/>
  <c r="J100"/>
  <c r="J97"/>
  <c r="J99" l="1"/>
  <c r="J357"/>
  <c r="J96"/>
  <c r="J95" l="1"/>
  <c r="J356"/>
  <c r="J209"/>
  <c r="J17"/>
  <c r="J16" l="1"/>
  <c r="J15" s="1"/>
  <c r="D13" i="6"/>
  <c r="J208" i="5"/>
  <c r="J14" l="1"/>
  <c r="J207"/>
  <c r="J678"/>
  <c r="J42"/>
  <c r="J529"/>
  <c r="J199"/>
  <c r="J168"/>
  <c r="J146"/>
  <c r="J36"/>
  <c r="J39"/>
  <c r="J78"/>
  <c r="J84"/>
  <c r="J59"/>
  <c r="J62"/>
  <c r="J65"/>
  <c r="J68"/>
  <c r="J397"/>
  <c r="J196"/>
  <c r="J140"/>
  <c r="J156"/>
  <c r="J162"/>
  <c r="J178"/>
  <c r="J182"/>
  <c r="J223"/>
  <c r="J226"/>
  <c r="J253"/>
  <c r="J257"/>
  <c r="J259"/>
  <c r="J48"/>
  <c r="J420"/>
  <c r="J422"/>
  <c r="J124"/>
  <c r="J129"/>
  <c r="J267"/>
  <c r="J274"/>
  <c r="J365"/>
  <c r="J470"/>
  <c r="J467" s="1"/>
  <c r="J477"/>
  <c r="J670"/>
  <c r="J391"/>
  <c r="J388" s="1"/>
  <c r="J285"/>
  <c r="J337"/>
  <c r="J339"/>
  <c r="J523"/>
  <c r="J345"/>
  <c r="J686"/>
  <c r="J685" s="1"/>
  <c r="J106"/>
  <c r="J108"/>
  <c r="J283"/>
  <c r="J280"/>
  <c r="J369"/>
  <c r="J371"/>
  <c r="J376"/>
  <c r="J384"/>
  <c r="J302"/>
  <c r="J301" s="1"/>
  <c r="J379"/>
  <c r="J661"/>
  <c r="J689"/>
  <c r="J691"/>
  <c r="J699"/>
  <c r="J701"/>
  <c r="D72" i="6"/>
  <c r="J292" i="5" l="1"/>
  <c r="J291" s="1"/>
  <c r="J290" s="1"/>
  <c r="J289" s="1"/>
  <c r="J698"/>
  <c r="J697" s="1"/>
  <c r="J256"/>
  <c r="J383"/>
  <c r="J522"/>
  <c r="J155"/>
  <c r="J61"/>
  <c r="J419"/>
  <c r="J336"/>
  <c r="J335" s="1"/>
  <c r="J334" s="1"/>
  <c r="J688"/>
  <c r="J364"/>
  <c r="J105"/>
  <c r="J123"/>
  <c r="J128"/>
  <c r="J637"/>
  <c r="J279"/>
  <c r="J677"/>
  <c r="J378"/>
  <c r="J177"/>
  <c r="J176" s="1"/>
  <c r="J660"/>
  <c r="J344"/>
  <c r="J630"/>
  <c r="J629" s="1"/>
  <c r="J266"/>
  <c r="J231"/>
  <c r="J181"/>
  <c r="J161"/>
  <c r="J139"/>
  <c r="J396"/>
  <c r="J64"/>
  <c r="J198"/>
  <c r="J273"/>
  <c r="J269" s="1"/>
  <c r="J47"/>
  <c r="J252"/>
  <c r="J222"/>
  <c r="J195"/>
  <c r="J58"/>
  <c r="J77"/>
  <c r="J35"/>
  <c r="J167"/>
  <c r="J41"/>
  <c r="J657"/>
  <c r="J375"/>
  <c r="J669"/>
  <c r="J476"/>
  <c r="J225"/>
  <c r="J67"/>
  <c r="J83"/>
  <c r="J38"/>
  <c r="J145"/>
  <c r="J528"/>
  <c r="J527" s="1"/>
  <c r="J526" s="1"/>
  <c r="J487"/>
  <c r="D33" i="6" s="1"/>
  <c r="J368" i="5"/>
  <c r="J282"/>
  <c r="J475" l="1"/>
  <c r="J474" s="1"/>
  <c r="J418"/>
  <c r="J400" s="1"/>
  <c r="J138"/>
  <c r="J521"/>
  <c r="J504" s="1"/>
  <c r="D34" i="6" s="1"/>
  <c r="J73" i="5"/>
  <c r="J54"/>
  <c r="J367"/>
  <c r="J187"/>
  <c r="J218"/>
  <c r="J154"/>
  <c r="J31"/>
  <c r="D35" i="6"/>
  <c r="J656" i="5"/>
  <c r="J643" s="1"/>
  <c r="J122"/>
  <c r="J46"/>
  <c r="J676"/>
  <c r="J278"/>
  <c r="J363"/>
  <c r="J104"/>
  <c r="J237"/>
  <c r="J684"/>
  <c r="J255"/>
  <c r="J343"/>
  <c r="J668"/>
  <c r="J667" s="1"/>
  <c r="J265"/>
  <c r="J466"/>
  <c r="J461" s="1"/>
  <c r="J439" s="1"/>
  <c r="J251"/>
  <c r="J395"/>
  <c r="J180"/>
  <c r="J636"/>
  <c r="J53" l="1"/>
  <c r="J52" s="1"/>
  <c r="J236"/>
  <c r="J153"/>
  <c r="J186"/>
  <c r="J623"/>
  <c r="J121"/>
  <c r="J675"/>
  <c r="J137"/>
  <c r="J217"/>
  <c r="J30"/>
  <c r="J362"/>
  <c r="D15" i="6" s="1"/>
  <c r="J635" i="5"/>
  <c r="J264"/>
  <c r="J696"/>
  <c r="J695" s="1"/>
  <c r="J394"/>
  <c r="J342"/>
  <c r="J683"/>
  <c r="J682" s="1"/>
  <c r="J681" s="1"/>
  <c r="J103"/>
  <c r="J277"/>
  <c r="J45"/>
  <c r="J13"/>
  <c r="J29" l="1"/>
  <c r="J707"/>
  <c r="D29" i="6"/>
  <c r="D20"/>
  <c r="J694" i="5"/>
  <c r="J355"/>
  <c r="D63" i="6"/>
  <c r="J185" i="5"/>
  <c r="D68" i="6"/>
  <c r="J152" i="5"/>
  <c r="D49" i="6" s="1"/>
  <c r="J333" i="5"/>
  <c r="J331" s="1"/>
  <c r="J674"/>
  <c r="J216"/>
  <c r="J120"/>
  <c r="J136"/>
  <c r="D32" i="6"/>
  <c r="J473" i="5"/>
  <c r="J622"/>
  <c r="D56" i="6"/>
  <c r="J263" i="5"/>
  <c r="D64" i="6" s="1"/>
  <c r="D62"/>
  <c r="J634" i="5"/>
  <c r="D14" i="6"/>
  <c r="D19"/>
  <c r="J235" i="5"/>
  <c r="D65" i="6"/>
  <c r="D16"/>
  <c r="J135" i="5" l="1"/>
  <c r="D48" i="6"/>
  <c r="D55"/>
  <c r="D67"/>
  <c r="J673" i="5"/>
  <c r="J354" s="1"/>
  <c r="D76" i="6"/>
  <c r="D17"/>
  <c r="D51"/>
  <c r="J330" i="5"/>
  <c r="J51"/>
  <c r="J28"/>
  <c r="J12" s="1"/>
  <c r="D50" i="6"/>
  <c r="D52"/>
  <c r="D25"/>
  <c r="J262" i="5"/>
  <c r="D59" i="6"/>
  <c r="D31"/>
  <c r="D22" l="1"/>
  <c r="D12"/>
  <c r="D75"/>
  <c r="D47"/>
  <c r="D54"/>
  <c r="D61"/>
  <c r="D58"/>
  <c r="J134" i="5"/>
  <c r="J705" l="1"/>
  <c r="J719" s="1"/>
  <c r="D78" i="6"/>
</calcChain>
</file>

<file path=xl/sharedStrings.xml><?xml version="1.0" encoding="utf-8"?>
<sst xmlns="http://schemas.openxmlformats.org/spreadsheetml/2006/main" count="5393" uniqueCount="414">
  <si>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</si>
  <si>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</si>
  <si>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07</t>
  </si>
  <si>
    <t>06</t>
  </si>
  <si>
    <t>Физическая культура и спорт</t>
  </si>
  <si>
    <t>Социальная политика</t>
  </si>
  <si>
    <t>Пенсионное обеспечение</t>
  </si>
  <si>
    <t>Социальное обеспечение населения</t>
  </si>
  <si>
    <t>Дошкольное образование</t>
  </si>
  <si>
    <t>Целевая статья</t>
  </si>
  <si>
    <t>Наименование</t>
  </si>
  <si>
    <t>Раз-дел</t>
  </si>
  <si>
    <t>Под-раз-дел</t>
  </si>
  <si>
    <t>03</t>
  </si>
  <si>
    <t>09</t>
  </si>
  <si>
    <t>Национальная экономика</t>
  </si>
  <si>
    <t>04</t>
  </si>
  <si>
    <t>02</t>
  </si>
  <si>
    <t>05</t>
  </si>
  <si>
    <t>11</t>
  </si>
  <si>
    <t>01</t>
  </si>
  <si>
    <t>Охрана семьи и детства</t>
  </si>
  <si>
    <t>Резервные фонды</t>
  </si>
  <si>
    <t>Транспорт</t>
  </si>
  <si>
    <t>Образование</t>
  </si>
  <si>
    <t>Общее образование</t>
  </si>
  <si>
    <t>Национальная безопасность и правоохранительная деятельность</t>
  </si>
  <si>
    <t>08</t>
  </si>
  <si>
    <t>Культура</t>
  </si>
  <si>
    <t>14</t>
  </si>
  <si>
    <t>10</t>
  </si>
  <si>
    <t>12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</si>
  <si>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</si>
  <si>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</si>
  <si>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</si>
  <si>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образования</t>
  </si>
  <si>
    <t>Сельское хозяйство и рыболовство</t>
  </si>
  <si>
    <t>Другие вопросы в области национальной экономики</t>
  </si>
  <si>
    <t>7</t>
  </si>
  <si>
    <t>ВСЕГО</t>
  </si>
  <si>
    <t>Глава</t>
  </si>
  <si>
    <t>017</t>
  </si>
  <si>
    <t>015</t>
  </si>
  <si>
    <t>к решению Собрания депутатов</t>
  </si>
  <si>
    <t>4</t>
  </si>
  <si>
    <t>Функционирование высшего должностного лица субъекта Российской Федерации и муниципального образования</t>
  </si>
  <si>
    <t>Жилищно-коммунальное хозяйство</t>
  </si>
  <si>
    <t xml:space="preserve">Коммунальное хозяйство </t>
  </si>
  <si>
    <t>Вид расхо-дов</t>
  </si>
  <si>
    <t>13</t>
  </si>
  <si>
    <t>Другие вопросы в области культуры, кинематографии</t>
  </si>
  <si>
    <t xml:space="preserve">Физическая культура 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</si>
  <si>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</si>
  <si>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Культура и кинематография</t>
  </si>
  <si>
    <t>Национальная оборона</t>
  </si>
  <si>
    <t>Мобилизационная и вневойсковая подготовка</t>
  </si>
  <si>
    <t>Средства массовой информации</t>
  </si>
  <si>
    <t>Телевидение и радиовещание</t>
  </si>
  <si>
    <t>Осуществление государственных полномочий по выплате вознаграждений профессиональным опекунам</t>
  </si>
  <si>
    <t>Другие вопросы в области социальной политики</t>
  </si>
  <si>
    <t>Дорожное хозяйство (дорожные фонды)</t>
  </si>
  <si>
    <t>Жилищное хозяйство</t>
  </si>
  <si>
    <t>Осуществление государственных полномочий по формированию торгового реестра</t>
  </si>
  <si>
    <t>028</t>
  </si>
  <si>
    <t>Обеспечение проведения выборов и референдумов</t>
  </si>
  <si>
    <t>Охрана окружающей среды</t>
  </si>
  <si>
    <t>Охрана объектов растительного и животного мира и среды их обитания</t>
  </si>
  <si>
    <t>6</t>
  </si>
  <si>
    <t>Благоустройство</t>
  </si>
  <si>
    <t>Массовый спорт</t>
  </si>
  <si>
    <t>0</t>
  </si>
  <si>
    <t>600</t>
  </si>
  <si>
    <t>Предоставление субсидий бюджетным, автономным учреждениям и иным некоммерческим организациям</t>
  </si>
  <si>
    <t>Компенсация части родительской платы за присмотр и уход за ребенком в государственных и муниципальных образовательных организациях, реализующих образовательную программу дошкольного образования</t>
  </si>
  <si>
    <t>610</t>
  </si>
  <si>
    <t>Субсидии бюджетным учреждениям</t>
  </si>
  <si>
    <t>Осуществление государственных полномочий в сфере охраны труда</t>
  </si>
  <si>
    <t>800</t>
  </si>
  <si>
    <t>810</t>
  </si>
  <si>
    <t>Доставка муки и лекарственных средств в районы Крайнего Севера и приравненные к ним местности с ограниченными сроками завоза грузов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</si>
  <si>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</si>
  <si>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</t>
  </si>
  <si>
    <t>50</t>
  </si>
  <si>
    <t>Непрограммные расходы</t>
  </si>
  <si>
    <t xml:space="preserve">Непрограммные расходы </t>
  </si>
  <si>
    <t>15</t>
  </si>
  <si>
    <t>Обеспечение деятельности библиотек</t>
  </si>
  <si>
    <t>Расходы на содержание органов местного самоуправления и обеспечение их функций</t>
  </si>
  <si>
    <t>Мероприятия в области образования</t>
  </si>
  <si>
    <t xml:space="preserve">Обеспечение деятельности детского оздоровительно-образовательного центра "Стрела"  </t>
  </si>
  <si>
    <t>Представительские расходы</t>
  </si>
  <si>
    <t>Расходы на обеспечение деятельности казенных учреждений</t>
  </si>
  <si>
    <t>100</t>
  </si>
  <si>
    <t>110</t>
  </si>
  <si>
    <t>200</t>
  </si>
  <si>
    <t>240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</si>
  <si>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</si>
  <si>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</si>
  <si>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Иные закупки товаров, работ и услуг для обеспечения государственных (муниципальных) нужд</t>
  </si>
  <si>
    <t>300</t>
  </si>
  <si>
    <t>Социальное обеспечение и иные выплаты населению</t>
  </si>
  <si>
    <t>Организация отдыха детей в каникулярное время</t>
  </si>
  <si>
    <t>120</t>
  </si>
  <si>
    <t>Расходы на выплаты персоналу государственных (муниципальных) органов</t>
  </si>
  <si>
    <t>870</t>
  </si>
  <si>
    <t>Резервные средства</t>
  </si>
  <si>
    <t>Социальные выплаты гражданам, кроме публичных нормативных социальных выплат</t>
  </si>
  <si>
    <t>320</t>
  </si>
  <si>
    <t>Социальные помощь</t>
  </si>
  <si>
    <t>Обслуживание муниципального долга</t>
  </si>
  <si>
    <t>700</t>
  </si>
  <si>
    <t>730</t>
  </si>
  <si>
    <t>Обслуживание государственного (муниципального) долга</t>
  </si>
  <si>
    <t>3</t>
  </si>
  <si>
    <t>5</t>
  </si>
  <si>
    <t>Программы</t>
  </si>
  <si>
    <t>360</t>
  </si>
  <si>
    <t>Иные выплаты населению</t>
  </si>
  <si>
    <t>400</t>
  </si>
  <si>
    <t>410</t>
  </si>
  <si>
    <t>Капитальные вложения в объекты недвижимого имущества государственной (муниципальной) собственности</t>
  </si>
  <si>
    <t xml:space="preserve">Бюджетные инвестиции </t>
  </si>
  <si>
    <t>Проведение мероприятий  для молодежи</t>
  </si>
  <si>
    <t>Проведение мероприятий профилактической направленности для несовершеннолетних</t>
  </si>
  <si>
    <t>850</t>
  </si>
  <si>
    <t>Уплата налогов, сборов и иных платежей</t>
  </si>
  <si>
    <t>Спорт высших достижений</t>
  </si>
  <si>
    <t>1</t>
  </si>
  <si>
    <t>Здравоохранение</t>
  </si>
  <si>
    <t>Другие вопросы в области здравоохранения</t>
  </si>
  <si>
    <t>прогр</t>
  </si>
  <si>
    <t>Подпрограмма "Организация предоставления дополнительного образования в ДШИ №15, поддержка и развитие детского и юношеского творчества"</t>
  </si>
  <si>
    <t>Поддержка и развитие детского юношеского творчества</t>
  </si>
  <si>
    <t>Обеспечение деятельности ДШИ № 15</t>
  </si>
  <si>
    <t>2</t>
  </si>
  <si>
    <t>Подпрограмма «Организация библиотечной деятельности и информационного обслуживания»</t>
  </si>
  <si>
    <t>Подпрограмма «Сохранение и развитие традиционной народной культуры, историко-культурного наследия, самодеятельного художественного творчества, культурно-досуговой деятельности»</t>
  </si>
  <si>
    <t>Участие в областных и всероссийских соревнованиях</t>
  </si>
  <si>
    <t>Органы внутренних дел</t>
  </si>
  <si>
    <t>Подпрограмма «Повышение доступности и качества дошкольного образования»</t>
  </si>
  <si>
    <t xml:space="preserve">Обеспечение деятельности образовательных учреждений, реализующих программы дошкольного образования </t>
  </si>
  <si>
    <t>Подпрограмма «Развитие системы выявления, поддержки и сопровождения одаренных и талантливых детей»</t>
  </si>
  <si>
    <t>Подпрограмма «Повышение доступности и качества общего образования»</t>
  </si>
  <si>
    <t>Обеспечение деятельности образовательных учреждений, реализующих программы начального общего, основного общего, среднего общего образования</t>
  </si>
  <si>
    <t>Подпрограмма «Повышение доступности и качества дополнительного образования»</t>
  </si>
  <si>
    <t>Обеспечение деятельности образовательных учреждений, реализующих программы дополнительного образования</t>
  </si>
  <si>
    <t>Подпрограмма «Содействие повышению квалификации и переподготовки руководящих и педагогических кадров»</t>
  </si>
  <si>
    <t>Подпрограмма «Создание условий для сохранения и укрепления здоровья детей»</t>
  </si>
  <si>
    <t>00</t>
  </si>
  <si>
    <t>00000</t>
  </si>
  <si>
    <t>25130</t>
  </si>
  <si>
    <t>25140</t>
  </si>
  <si>
    <t>25410</t>
  </si>
  <si>
    <t>25010</t>
  </si>
  <si>
    <t>25080</t>
  </si>
  <si>
    <t>25100</t>
  </si>
  <si>
    <t>27050</t>
  </si>
  <si>
    <t>25090</t>
  </si>
  <si>
    <t>20030</t>
  </si>
  <si>
    <t>27340</t>
  </si>
  <si>
    <t>27350</t>
  </si>
  <si>
    <t>24090</t>
  </si>
  <si>
    <t>24140</t>
  </si>
  <si>
    <t>24100</t>
  </si>
  <si>
    <t>24210</t>
  </si>
  <si>
    <t>24120</t>
  </si>
  <si>
    <t>24190</t>
  </si>
  <si>
    <t>78320</t>
  </si>
  <si>
    <t>78650</t>
  </si>
  <si>
    <t>78730</t>
  </si>
  <si>
    <t>20020</t>
  </si>
  <si>
    <t>20060</t>
  </si>
  <si>
    <t>20070</t>
  </si>
  <si>
    <t>78700</t>
  </si>
  <si>
    <t>20120</t>
  </si>
  <si>
    <t>78690</t>
  </si>
  <si>
    <t>78710</t>
  </si>
  <si>
    <t>20110</t>
  </si>
  <si>
    <t>22230</t>
  </si>
  <si>
    <t>23030</t>
  </si>
  <si>
    <t>27040</t>
  </si>
  <si>
    <t>27030</t>
  </si>
  <si>
    <t>27100</t>
  </si>
  <si>
    <t>27110</t>
  </si>
  <si>
    <t>27060</t>
  </si>
  <si>
    <t>21060</t>
  </si>
  <si>
    <t>21110</t>
  </si>
  <si>
    <t>21750</t>
  </si>
  <si>
    <t>21180</t>
  </si>
  <si>
    <t>Обеспечение деятельности туристского культурно-музейного центра «Кимжа»</t>
  </si>
  <si>
    <t>21010</t>
  </si>
  <si>
    <t>Судебная система</t>
  </si>
  <si>
    <t>Другие вопросы в области национальной безопасности и правоохранительной деятельности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</si>
  <si>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</si>
  <si>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16</t>
  </si>
  <si>
    <t>27450</t>
  </si>
  <si>
    <t>20</t>
  </si>
  <si>
    <t>Выплата единовременного пособия молодым специалистам</t>
  </si>
  <si>
    <t>20500</t>
  </si>
  <si>
    <t xml:space="preserve">Молодежная политика </t>
  </si>
  <si>
    <t>Молодежная политика</t>
  </si>
  <si>
    <t>Культура, кинематография</t>
  </si>
  <si>
    <t>Другие вопросы в области культуры , кинематографии</t>
  </si>
  <si>
    <t>Дополнительное образование детей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</si>
  <si>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</si>
  <si>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</si>
  <si>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78390</t>
  </si>
  <si>
    <t>24110</t>
  </si>
  <si>
    <t>Трудоустройство несовершеннолетних граждан в период каникулярного времени</t>
  </si>
  <si>
    <t>S8330</t>
  </si>
  <si>
    <t>20010</t>
  </si>
  <si>
    <t>Подпрограмма "Капитальный, текущий ремонты и реконструкция"</t>
  </si>
  <si>
    <t>Капитальный, текущий ремонты зданий находящихся в муниципальной собственности</t>
  </si>
  <si>
    <t>26030</t>
  </si>
  <si>
    <t>18</t>
  </si>
  <si>
    <t>Подпрограмма «Жилищное строительство»</t>
  </si>
  <si>
    <t>Подпрограмма «Инженерная инфраструктура»</t>
  </si>
  <si>
    <t>Другие вопросы в области охраны окружающей среды</t>
  </si>
  <si>
    <t>78791</t>
  </si>
  <si>
    <t>78792</t>
  </si>
  <si>
    <t>78270</t>
  </si>
  <si>
    <t xml:space="preserve">Выплата пенсии за выслугу лет лицам, замещавшим муниципальные должности </t>
  </si>
  <si>
    <t>350</t>
  </si>
  <si>
    <t>Премии и гранты</t>
  </si>
  <si>
    <t xml:space="preserve">Подпрограмма «Капитальный, текущий ремонты и реконструкция» </t>
  </si>
  <si>
    <t>23570</t>
  </si>
  <si>
    <t>24220</t>
  </si>
  <si>
    <t>21530</t>
  </si>
  <si>
    <t>Финансовая поддержка субъектов малого и среднего предпринимательства</t>
  </si>
  <si>
    <t>Гражданская оборона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</si>
  <si>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</si>
  <si>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по созданию муниципальных комиссий по делам несовершеннолетних и защите их прав</t>
  </si>
  <si>
    <t>78793</t>
  </si>
  <si>
    <t>Осуществление переданых органам местного самоуправления муниципальных образований Архангнльской области государственных полномочий Архангельской области в сфере административных правонарушений</t>
  </si>
  <si>
    <t>20100</t>
  </si>
  <si>
    <t>Резервные средства для финансового обеспечения расходов в целях софинансирования субсидий и иных межбюджетных трансфертов, поступающих из областного бюджета</t>
  </si>
  <si>
    <t>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</si>
  <si>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</si>
  <si>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L3042</t>
  </si>
  <si>
    <t>Другие вопросы в области жилищно-коммунального хозяйства</t>
  </si>
  <si>
    <t>Расходы на проведение мероприятий за счет благотворительной помощи</t>
  </si>
  <si>
    <t>27400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</si>
  <si>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</si>
  <si>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78621</t>
  </si>
  <si>
    <t>78622</t>
  </si>
  <si>
    <t>24080</t>
  </si>
  <si>
    <t>620</t>
  </si>
  <si>
    <t>630</t>
  </si>
  <si>
    <t>Обеспечение функционирования модели персонифицированного финансирования дополнительного образования детей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</si>
  <si>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</si>
  <si>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</si>
  <si>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</si>
  <si>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310</t>
  </si>
  <si>
    <t>Публичные нормативные социальные выплаты гражданам</t>
  </si>
  <si>
    <t>S6560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</si>
  <si>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</si>
  <si>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F3</t>
  </si>
  <si>
    <t>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</si>
  <si>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</si>
  <si>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67484</t>
  </si>
  <si>
    <t>Закупка товаров, работ и услуг для обеспечения государственных (муниципальных) нужд</t>
  </si>
  <si>
    <t>Обслуживание государственного (муниципального) внутреннего долга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</si>
  <si>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</si>
  <si>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78240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</si>
  <si>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</si>
  <si>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L5198</t>
  </si>
  <si>
    <t>20830</t>
  </si>
  <si>
    <t>23050</t>
  </si>
  <si>
    <t>22030</t>
  </si>
  <si>
    <t>21580</t>
  </si>
  <si>
    <t>Обеспечение земельных участков, предоставленных многодетным семьям, коммунальной и инженерной инфраструктуры</t>
  </si>
  <si>
    <t>20510</t>
  </si>
  <si>
    <t>024</t>
  </si>
  <si>
    <t>Приложение № 4</t>
  </si>
  <si>
    <t>Расходы на обеспечение деятельности контрольно-счетной комиссии</t>
  </si>
  <si>
    <t>20240</t>
  </si>
  <si>
    <t>2023 год</t>
  </si>
  <si>
    <t>2024 год</t>
  </si>
  <si>
    <t>2025 год</t>
  </si>
  <si>
    <t>Всего</t>
  </si>
  <si>
    <t>Подпрограмма «Повышение доступности и качества
 общего образования»</t>
  </si>
  <si>
    <t>Муниципальная программа «Развитие туризма на территории Мезенского муниципального округа Архангельской области на 2023 – 2025 годы»</t>
  </si>
  <si>
    <t>Муниципальная программа «Развитие сферы культуры Мезенского муниципального округа Архангельской области на 2023 – 2025 годы»</t>
  </si>
  <si>
    <t>Муниципальная программа «Молодёжь Мезенского муниципального округа Архангельской области на 2023 – 2025 годы»</t>
  </si>
  <si>
    <t>Муниципальная программа «Развитие физической культуры и спорта на территории Мезенского муниципального округа Архангельской области на 2023 – 2025 годы»</t>
  </si>
  <si>
    <t xml:space="preserve">Муниципальная программа «Развитие образования в Мезенском муниципальном округе Архангельской области на 2023 – 2025 годы» </t>
  </si>
  <si>
    <t>Муниципальная программа «Комплексное развитие сельских территорий Мезенского муниципального округа Архангельской области на 2023 – 2025 годы»</t>
  </si>
  <si>
    <t>Муниципальная программа «Развитие имущественно - земельных отношений в Мезенском муниципальном округе Архангельской области на 2023 – 2025 годы»</t>
  </si>
  <si>
    <t>Муниципальная программа «Экономическое развитие и инвестиционная деятельность на территории Мезенского муниципального округа Архангельской области на 2023 – 2025 годы»</t>
  </si>
  <si>
    <t>Муниципальная программа «Развитие строительства, капитальный и текущий ремонты объектов на территории Мезенского муниципального округа Архангельской области на 2023-2025 годы»</t>
  </si>
  <si>
    <t>Муниципальная программа «Защита населения и территории Мезенского муниципального округа Архангельской области от чрезвычайных ситуаций природного и техногенного характера, обеспечение пожарной безопасности и безопасности людей на водных объектах на 2023 – 2025 годы»</t>
  </si>
  <si>
    <t>Муниципальная программа «Профилактика правонарушений в Мезенском муниципальном округе Архангельской области на 2023 – 2025 годы»</t>
  </si>
  <si>
    <t>Муниципальная программа «Обеспечение экологической безопасности на территории Мезенского муниципального округа Архангельской области на 2023 - 2025 годы»</t>
  </si>
  <si>
    <t>Муниципальная программа «Профилактика безнадзорности и правонарушений несовершеннолетних на территории Мезенского муниципального округа Архангельской области на 2023 – 2025 годы»</t>
  </si>
  <si>
    <t>Муниципальная программа «Управление муниципальными финансами и муниципальным долгом Мезенского муниципального округа Архангельской области на 2023 – 2025 годы»</t>
  </si>
  <si>
    <t>Подпрограмма «Управление муниципальным долгом Мезенского муниципального округа»</t>
  </si>
  <si>
    <t>Подпрограмма «Организация и обеспечение бюджетного процесса в Мезенском муниципальном округе»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</si>
  <si>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</si>
  <si>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S6450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</si>
  <si>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</si>
  <si>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Создание условий для обеспечения поселений и жителей муниципальных и городских округов услугами торговли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</si>
  <si>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</si>
  <si>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S6820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</si>
  <si>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</si>
  <si>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Осуществление первичного воинского учета на территориях, где отсутствуют военные комиссариаты</t>
  </si>
  <si>
    <t>51180</t>
  </si>
  <si>
    <t>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</si>
  <si>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</si>
  <si>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 xml:space="preserve">Развитие территориального общественного самоуправления Архангельской области </t>
  </si>
  <si>
    <t>S8420</t>
  </si>
  <si>
    <t>Муниципальная программа «Развитие территориального общественного самоуправления в Мезенском муниципальном округе Архангельской области на 2023 – 2025 годы»</t>
  </si>
  <si>
    <t>78160</t>
  </si>
  <si>
    <t>Реализация мероприятий по социально-экономическому развитию муниципальных округов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</si>
  <si>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</si>
  <si>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Подпрограмма «Развитие туристского культурно-музейного центра «Кимжа»</t>
  </si>
  <si>
    <t>Мероприятия в области туризма</t>
  </si>
  <si>
    <t>19</t>
  </si>
  <si>
    <t>20200</t>
  </si>
  <si>
    <t>Муниципальная программа «Развитие гражданского общества и поддержка социально ориентированных некоммерческих организаций Мезенского муниципального округа Архангельской области на 2023 – 2025 годы»</t>
  </si>
  <si>
    <t>17</t>
  </si>
  <si>
    <t>L4970</t>
  </si>
  <si>
    <t>Муниципальная программа «Обеспечение жильём молодых семей Мезенского муниципального округа Архангельской области на 2023 – 2025 годы»</t>
  </si>
  <si>
    <t>Реализация мероприятий по обеспечению жильем молодых семей</t>
  </si>
  <si>
    <t>20090</t>
  </si>
  <si>
    <t>Паспортизация, инвентаризация и оценка технического состояния муниципального имущества</t>
  </si>
  <si>
    <t>Выполнение кадастровых работ</t>
  </si>
  <si>
    <t>Взносы на капитальный ремонт многоквартирных домов,  находящихся в муниципальной собственности</t>
  </si>
  <si>
    <t>20080</t>
  </si>
  <si>
    <t>Председатель представительного органа муниципального округа</t>
  </si>
  <si>
    <t>Расходы на обеспечение деятельности представительного органа муниципального округа</t>
  </si>
  <si>
    <t>Глава муниципального округа</t>
  </si>
  <si>
    <t>S8220</t>
  </si>
  <si>
    <t>Резервный фонд администрации Мезенского муниципального округа</t>
  </si>
  <si>
    <t>20800</t>
  </si>
  <si>
    <t>Создание резерва материальных ресурсов, приобретение имущества для предупреждения и ликвидации чрезвычайных ситуации и их последствий</t>
  </si>
  <si>
    <t>20820</t>
  </si>
  <si>
    <t>Осуществление мероприятий по обеспечению пожарной безопасности</t>
  </si>
  <si>
    <t>Обеспечение жизнедеятельности населения, предупреждение и ликвидация чрезвычайных ситуаций и стихийных бедствий</t>
  </si>
  <si>
    <t>20840</t>
  </si>
  <si>
    <t>Обеспечение безопасности людей на водных объектах</t>
  </si>
  <si>
    <t>Мероприятия в сфере профилактики правонарушений</t>
  </si>
  <si>
    <t>21700</t>
  </si>
  <si>
    <t>Муниципальная программа «Противодействие экстремизму и профилактика терроризма на территории Мезенского муниципального округа Архангельской области на 2023-2025 годы»</t>
  </si>
  <si>
    <t>Информирование жителей муниципального округа по вопросам противодействия терроризму и экстремизму</t>
  </si>
  <si>
    <t>Организация и проведение сельскохозяйственной ярмарки</t>
  </si>
  <si>
    <t>20260</t>
  </si>
  <si>
    <t xml:space="preserve">Обеспечение деятельности МАУ </t>
  </si>
  <si>
    <t>23080</t>
  </si>
  <si>
    <t>23040</t>
  </si>
  <si>
    <t xml:space="preserve">Организация мероприятий по содержанию и текущему ремонту автомобильных дорог местного значения для обеспечения качественного проезда и безопасности движения транспортных средств   </t>
  </si>
  <si>
    <t>Строительство, реконструкция, капитальный ремонт, ремонт и содержание автомобильных дорог находящихся в собственности муниципального округа за счет муниципального дорожного фонда</t>
  </si>
  <si>
    <t>Создание условий для обеспечения товарами первой необходимости жителей труднодоступных и малонаселенных пунктов</t>
  </si>
  <si>
    <t>20340</t>
  </si>
  <si>
    <t>Выполнение работ по производству инженерно-геодезических и инженерго-геологических изысканий</t>
  </si>
  <si>
    <t>21590</t>
  </si>
  <si>
    <t>Улучшение жилищных условий для привлечения молодых специалистов</t>
  </si>
  <si>
    <t>Развитие системы обращения ЖБО</t>
  </si>
  <si>
    <t>21</t>
  </si>
  <si>
    <t>20270</t>
  </si>
  <si>
    <t>Мероприятия в области коммунального хозяйства</t>
  </si>
  <si>
    <t>20330</t>
  </si>
  <si>
    <t>20310</t>
  </si>
  <si>
    <t>Организация ритуальных услуг и содержание мест захоронения</t>
  </si>
  <si>
    <t>22</t>
  </si>
  <si>
    <t>L5550</t>
  </si>
  <si>
    <t>Муниципальная программа «Формирование современной городской среды в Мезенском муниципальном округе Архангельской области на 2023 – 2025 годы»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</si>
  <si>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</si>
  <si>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Мероприятия по благоустройству на территории муниципального округа </t>
  </si>
  <si>
    <t>Мероприятия по поддержке социально ориентированных некоммерческих организаций</t>
  </si>
  <si>
    <t>Содержание муниципального имущества</t>
  </si>
  <si>
    <t>20420</t>
  </si>
  <si>
    <t>Мероприятия по ликвидации мест несанкционированного размещения отходов</t>
  </si>
  <si>
    <t>20410</t>
  </si>
  <si>
    <t>Мероприятия по рекультивациии земельных участков на территории муниципального округа</t>
  </si>
  <si>
    <t xml:space="preserve">Создание условий для предоставления транспортных услуг и организация транспортного обслуживания населения водным транспортом в границах  муниципального округа </t>
  </si>
  <si>
    <t>Создание условий для предоставления транспортных услуг и организация транспортного обслуживания населения автомобильным транспортом в границах  муниципального округа</t>
  </si>
  <si>
    <t xml:space="preserve">Обеспечение населения качественной питьевой водой </t>
  </si>
  <si>
    <t xml:space="preserve">Капитальный и текущий ремонты в муниципальных учреждениях, модернизация и приобретение основных средств </t>
  </si>
  <si>
    <t>Мероприятия в области культуры</t>
  </si>
  <si>
    <t>Обеспечение деятельности Домов культуры</t>
  </si>
  <si>
    <t>Создание и приобретение справочных и иных материалов</t>
  </si>
  <si>
    <t>Возмещение расходов по предоставлению мер социальной поддержки отдельных категорий квалифицированных специалистов, работающих и проживающих в сельской местности</t>
  </si>
  <si>
    <t>Проведение спортивных мероприятий</t>
  </si>
  <si>
    <t>20440</t>
  </si>
  <si>
    <t>Содержание мест (площадок) для ТКО</t>
  </si>
  <si>
    <t>Обеспечение комплексного развития сельских территорий</t>
  </si>
  <si>
    <t>L5760</t>
  </si>
  <si>
    <t>22240</t>
  </si>
  <si>
    <t>Организация и проведение соревнований конников на лошадях мезенской породы</t>
  </si>
  <si>
    <t>Условно утверждаемые расходы</t>
  </si>
  <si>
    <t>УСЛОВНО УТВЕРЖДАЕМЫЕ РАСХОДЫ</t>
  </si>
  <si>
    <t>Приложение № 3</t>
  </si>
  <si>
    <t>Ведомственная структура расходов бюджета муниципального округа на 2023 год и на плановый период 2024 и 2025 годов</t>
  </si>
  <si>
    <t>Муниципальная программа «Развитие здравоохранения Мезенского муниципального округа Архангельской области на 2023 – 2025 годы»</t>
  </si>
  <si>
    <t>Реализация образовательных программ (кроме персонифицированного финансирования)</t>
  </si>
  <si>
    <t>Реализация образовательных программ (в рамках персонифицированного финансирования)</t>
  </si>
  <si>
    <t>Муниципальная программа «Развитие транспортной системы и дорожного хозяйства в Мезенском муниципальном округе Архангельской области на 2023-2025 годы»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</si>
  <si>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</si>
  <si>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Сумма, рублей</t>
  </si>
  <si>
    <t>Расходы связанные с реализацией Положения о звании "Почетный гражданин Мезенского района"</t>
  </si>
  <si>
    <t>Расходы связанные с реализацией Положения о нагрудном знаке "За заслуги перед Мезенским районом"</t>
  </si>
  <si>
    <t>Мезенского муниципального округа</t>
  </si>
  <si>
    <t>Распределение бюджетных ассигнований по разделам и подразделам классификации расходов бюджетов                                              на 2023 год и на плановый период 2024 и 2025 годов</t>
  </si>
  <si>
    <t>029</t>
  </si>
  <si>
    <t>031</t>
  </si>
  <si>
    <t>030</t>
  </si>
  <si>
    <t>УПРАВЛЕНИЕ КУЛЬТУРЫ, СПОРТА, ТУРИЗМА И МОЛОДЕЖНОЙ ПОЛИТИКИ АДМИНИСТРАЦИИ МЕЗЕНСКОГО МУНИЦИПАЛЬНОГО ОКРУГА АРХАНГЕЛЬСКОЙ ОБЛАСТИ</t>
  </si>
  <si>
    <t>УПРАВЛЕНИЕ ОБРАЗОВАНИЯ АДМИНИСТРАЦИИ МЕЗЕНСКОГО МУНИЦИПАЛЬНОГО ОКРУГА АРХАНГЕЛЬСКОЙ ОБЛАСТИ</t>
  </si>
  <si>
    <t>КОМИТЕТ ПО УПРАВЛЕНИЮ МУНИЦИПАЛЬНЫМ ИМУЩЕСТВОМ АДМИНИСТРАЦИИ МЕЗЕНСКОГО МУНИЦИПАЛЬНОГО ОКРУГА АРХАНГНЛЬСКОЙ ОБЛАСТИ</t>
  </si>
  <si>
    <t>ФИНАНСОВОЕ УПРАВЛЕНИЕ АДМИНИСТРАЦИИ МЕЗЕНСКОГО МУНИЦИПАЛЬНОГО ОКРУГА АРХАНГЕЛЬСКОЙ ОБЛАСТИ</t>
  </si>
  <si>
    <t xml:space="preserve"> АДМИНИСТРАЦИЯ МЕЗЕНСКОГО МУНИЦИПАЛЬНОГО ОКРУГА АРХАНГЕЛЬСКОЙ ОБЛАСТИ</t>
  </si>
  <si>
    <t>СОБРАНИЕ ДЕПУТАТОВ МЕЗЕНСКОГО МУНИЦИПАЛЬНОГО ОКРУГА АРХАНГЕЛЬСКОЙ ОБЛАСТИ</t>
  </si>
  <si>
    <t>КОНТРОЛЬНО - СЧЕТНАЯ КОМИССИЯ МЕЗЕНСКОГО МУНИЦИПАЛЬНОГО ОКРУГА АРХАНГЕЛЬСКОЙ ОБЛАСТИ</t>
  </si>
  <si>
    <t>от 15  декабря 2022 года № 42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</si>
</sst>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0_ ;[Red]\-#,##0.00\ "/>
  </numFmts>
  <fonts count="26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Arial Сur"/>
      <charset val="204"/>
    </font>
    <font>
      <sz val="12"/>
      <name val="Arial Сur"/>
      <charset val="204"/>
    </font>
    <font>
      <b/>
      <sz val="10"/>
      <name val="Arial Сur"/>
      <charset val="204"/>
    </font>
    <font>
      <sz val="10"/>
      <name val="Arial Сur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1"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0" fillId="0" borderId="7" xfId="0" applyFill="1" applyBorder="1"/>
    <xf numFmtId="0" fontId="0" fillId="0" borderId="8" xfId="0" applyFill="1" applyBorder="1"/>
    <xf numFmtId="16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7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4" xfId="0" applyFill="1" applyBorder="1"/>
    <xf numFmtId="0" fontId="2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wrapText="1"/>
    </xf>
    <xf numFmtId="0" fontId="0" fillId="2" borderId="17" xfId="0" applyFill="1" applyBorder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1" fillId="0" borderId="2" xfId="0" applyFont="1" applyFill="1" applyBorder="1"/>
    <xf numFmtId="49" fontId="8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2" fillId="0" borderId="11" xfId="0" applyFont="1" applyFill="1" applyBorder="1" applyAlignment="1">
      <alignment horizontal="left" vertical="center" wrapText="1"/>
    </xf>
    <xf numFmtId="0" fontId="10" fillId="0" borderId="2" xfId="0" applyFont="1" applyFill="1" applyBorder="1"/>
    <xf numFmtId="0" fontId="0" fillId="0" borderId="0" xfId="0" applyAlignment="1">
      <alignment horizontal="right" vertical="center"/>
    </xf>
    <xf numFmtId="0" fontId="0" fillId="0" borderId="0" xfId="0" applyFill="1" applyBorder="1"/>
    <xf numFmtId="2" fontId="0" fillId="0" borderId="0" xfId="0" applyNumberFormat="1" applyFill="1"/>
    <xf numFmtId="2" fontId="0" fillId="0" borderId="0" xfId="0" applyNumberFormat="1" applyFill="1" applyBorder="1"/>
    <xf numFmtId="49" fontId="15" fillId="0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0" xfId="0" applyFont="1" applyFill="1" applyBorder="1"/>
    <xf numFmtId="0" fontId="17" fillId="0" borderId="23" xfId="0" applyFont="1" applyFill="1" applyBorder="1"/>
    <xf numFmtId="0" fontId="18" fillId="0" borderId="23" xfId="0" applyFont="1" applyFill="1" applyBorder="1"/>
    <xf numFmtId="0" fontId="3" fillId="0" borderId="16" xfId="0" applyFont="1" applyFill="1" applyBorder="1" applyAlignment="1">
      <alignment horizontal="left" vertical="center" wrapText="1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justify" wrapText="1"/>
    </xf>
    <xf numFmtId="0" fontId="6" fillId="0" borderId="27" xfId="0" applyFont="1" applyBorder="1" applyAlignment="1">
      <alignment wrapText="1"/>
    </xf>
    <xf numFmtId="0" fontId="6" fillId="0" borderId="27" xfId="0" applyFont="1" applyBorder="1"/>
    <xf numFmtId="49" fontId="7" fillId="0" borderId="5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 wrapText="1"/>
    </xf>
    <xf numFmtId="4" fontId="0" fillId="0" borderId="28" xfId="0" applyNumberFormat="1" applyFill="1" applyBorder="1" applyAlignment="1">
      <alignment horizontal="right" vertical="center"/>
    </xf>
    <xf numFmtId="4" fontId="0" fillId="0" borderId="0" xfId="0" applyNumberFormat="1" applyFill="1" applyAlignment="1">
      <alignment horizontal="center" vertical="center"/>
    </xf>
    <xf numFmtId="165" fontId="0" fillId="0" borderId="28" xfId="0" applyNumberFormat="1" applyFill="1" applyBorder="1" applyAlignment="1">
      <alignment horizontal="right" vertical="center"/>
    </xf>
    <xf numFmtId="4" fontId="0" fillId="0" borderId="9" xfId="0" applyNumberFormat="1" applyFill="1" applyBorder="1" applyAlignment="1">
      <alignment horizontal="center" vertical="center"/>
    </xf>
    <xf numFmtId="0" fontId="15" fillId="0" borderId="0" xfId="0" applyFont="1"/>
    <xf numFmtId="49" fontId="0" fillId="0" borderId="1" xfId="0" applyNumberFormat="1" applyFill="1" applyBorder="1" applyAlignment="1">
      <alignment horizontal="center" vertical="center"/>
    </xf>
    <xf numFmtId="165" fontId="17" fillId="0" borderId="10" xfId="0" applyNumberFormat="1" applyFont="1" applyFill="1" applyBorder="1" applyAlignment="1">
      <alignment horizontal="right" vertical="center"/>
    </xf>
    <xf numFmtId="165" fontId="10" fillId="0" borderId="28" xfId="0" applyNumberFormat="1" applyFont="1" applyFill="1" applyBorder="1" applyAlignment="1">
      <alignment horizontal="right" vertical="center"/>
    </xf>
    <xf numFmtId="165" fontId="0" fillId="0" borderId="29" xfId="0" applyNumberFormat="1" applyFill="1" applyBorder="1" applyAlignment="1">
      <alignment horizontal="right" vertical="center"/>
    </xf>
    <xf numFmtId="0" fontId="6" fillId="0" borderId="27" xfId="0" applyFont="1" applyFill="1" applyBorder="1" applyAlignment="1">
      <alignment horizontal="left" vertical="center" wrapText="1"/>
    </xf>
    <xf numFmtId="0" fontId="0" fillId="2" borderId="1" xfId="0" applyFill="1" applyBorder="1"/>
    <xf numFmtId="165" fontId="1" fillId="0" borderId="28" xfId="0" applyNumberFormat="1" applyFont="1" applyFill="1" applyBorder="1" applyAlignment="1">
      <alignment horizontal="right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0" fillId="0" borderId="6" xfId="0" applyNumberFormat="1" applyFont="1" applyFill="1" applyBorder="1" applyAlignment="1">
      <alignment horizontal="center" vertical="center"/>
    </xf>
    <xf numFmtId="49" fontId="21" fillId="0" borderId="26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0" fontId="1" fillId="0" borderId="8" xfId="0" applyFont="1" applyFill="1" applyBorder="1"/>
    <xf numFmtId="0" fontId="15" fillId="2" borderId="1" xfId="0" applyFont="1" applyFill="1" applyBorder="1"/>
    <xf numFmtId="0" fontId="23" fillId="0" borderId="0" xfId="0" applyFont="1" applyFill="1"/>
    <xf numFmtId="4" fontId="11" fillId="2" borderId="28" xfId="0" applyNumberFormat="1" applyFont="1" applyFill="1" applyBorder="1" applyAlignment="1">
      <alignment horizontal="right" vertical="center"/>
    </xf>
    <xf numFmtId="4" fontId="11" fillId="0" borderId="28" xfId="0" applyNumberFormat="1" applyFont="1" applyFill="1" applyBorder="1" applyAlignment="1">
      <alignment horizontal="right" vertical="center"/>
    </xf>
    <xf numFmtId="4" fontId="10" fillId="0" borderId="28" xfId="0" applyNumberFormat="1" applyFont="1" applyFill="1" applyBorder="1" applyAlignment="1">
      <alignment horizontal="right" vertical="center"/>
    </xf>
    <xf numFmtId="4" fontId="1" fillId="0" borderId="28" xfId="0" applyNumberFormat="1" applyFont="1" applyFill="1" applyBorder="1" applyAlignment="1">
      <alignment horizontal="right" vertical="center"/>
    </xf>
    <xf numFmtId="4" fontId="0" fillId="0" borderId="31" xfId="0" applyNumberFormat="1" applyFill="1" applyBorder="1" applyAlignment="1">
      <alignment horizontal="right" vertical="center"/>
    </xf>
    <xf numFmtId="4" fontId="19" fillId="0" borderId="28" xfId="0" applyNumberFormat="1" applyFont="1" applyFill="1" applyBorder="1" applyAlignment="1">
      <alignment horizontal="right" vertical="center"/>
    </xf>
    <xf numFmtId="4" fontId="15" fillId="0" borderId="28" xfId="0" applyNumberFormat="1" applyFont="1" applyFill="1" applyBorder="1" applyAlignment="1">
      <alignment horizontal="right" vertical="center"/>
    </xf>
    <xf numFmtId="4" fontId="1" fillId="0" borderId="31" xfId="0" applyNumberFormat="1" applyFont="1" applyFill="1" applyBorder="1" applyAlignment="1">
      <alignment horizontal="right" vertical="center"/>
    </xf>
    <xf numFmtId="4" fontId="11" fillId="2" borderId="31" xfId="0" applyNumberFormat="1" applyFont="1" applyFill="1" applyBorder="1" applyAlignment="1">
      <alignment horizontal="right" vertical="center"/>
    </xf>
    <xf numFmtId="4" fontId="17" fillId="0" borderId="10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4" fontId="21" fillId="0" borderId="28" xfId="0" applyNumberFormat="1" applyFont="1" applyFill="1" applyBorder="1" applyAlignment="1">
      <alignment horizontal="right" vertical="center"/>
    </xf>
    <xf numFmtId="4" fontId="0" fillId="0" borderId="32" xfId="0" applyNumberFormat="1" applyFill="1" applyBorder="1" applyAlignment="1">
      <alignment horizontal="right" vertical="center"/>
    </xf>
    <xf numFmtId="0" fontId="6" fillId="0" borderId="16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justify" wrapText="1"/>
    </xf>
    <xf numFmtId="4" fontId="6" fillId="0" borderId="0" xfId="0" applyNumberFormat="1" applyFont="1" applyFill="1" applyAlignment="1">
      <alignment horizontal="right"/>
    </xf>
    <xf numFmtId="0" fontId="0" fillId="0" borderId="2" xfId="0" applyFill="1" applyBorder="1"/>
    <xf numFmtId="0" fontId="6" fillId="0" borderId="2" xfId="0" applyFont="1" applyBorder="1" applyAlignment="1">
      <alignment wrapText="1"/>
    </xf>
    <xf numFmtId="49" fontId="5" fillId="0" borderId="15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" fontId="0" fillId="0" borderId="28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0" borderId="2" xfId="0" applyFill="1" applyBorder="1" applyAlignment="1">
      <alignment horizontal="left" vertical="center" wrapText="1"/>
    </xf>
    <xf numFmtId="49" fontId="0" fillId="0" borderId="17" xfId="0" applyNumberForma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0" fillId="0" borderId="0" xfId="0"/>
    <xf numFmtId="49" fontId="3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2" xfId="0" applyFont="1" applyFill="1" applyBorder="1" applyAlignment="1">
      <alignment vertical="center" wrapText="1"/>
    </xf>
    <xf numFmtId="0" fontId="6" fillId="0" borderId="27" xfId="0" applyFont="1" applyBorder="1" applyAlignment="1">
      <alignment wrapText="1"/>
    </xf>
    <xf numFmtId="0" fontId="6" fillId="0" borderId="26" xfId="0" applyFont="1" applyFill="1" applyBorder="1" applyAlignment="1">
      <alignment vertical="center" wrapText="1"/>
    </xf>
    <xf numFmtId="4" fontId="0" fillId="0" borderId="28" xfId="0" applyNumberFormat="1" applyFill="1" applyBorder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/>
    </xf>
    <xf numFmtId="4" fontId="1" fillId="0" borderId="28" xfId="0" applyNumberFormat="1" applyFont="1" applyFill="1" applyBorder="1" applyAlignment="1">
      <alignment horizontal="right" vertical="center"/>
    </xf>
    <xf numFmtId="49" fontId="0" fillId="0" borderId="6" xfId="0" applyNumberFormat="1" applyFill="1" applyBorder="1" applyAlignment="1">
      <alignment horizontal="center" vertical="center"/>
    </xf>
    <xf numFmtId="0" fontId="0" fillId="0" borderId="0" xfId="0" applyFont="1"/>
    <xf numFmtId="0" fontId="0" fillId="0" borderId="2" xfId="0" applyFont="1" applyFill="1" applyBorder="1"/>
    <xf numFmtId="0" fontId="10" fillId="0" borderId="0" xfId="0" applyFont="1"/>
    <xf numFmtId="0" fontId="6" fillId="0" borderId="27" xfId="0" applyFont="1" applyFill="1" applyBorder="1" applyAlignment="1">
      <alignment wrapText="1"/>
    </xf>
    <xf numFmtId="49" fontId="22" fillId="0" borderId="26" xfId="0" applyNumberFormat="1" applyFont="1" applyFill="1" applyBorder="1" applyAlignment="1">
      <alignment horizontal="left" vertical="center" wrapText="1"/>
    </xf>
    <xf numFmtId="4" fontId="22" fillId="0" borderId="28" xfId="0" applyNumberFormat="1" applyFont="1" applyFill="1" applyBorder="1" applyAlignment="1">
      <alignment horizontal="right" vertical="center"/>
    </xf>
    <xf numFmtId="49" fontId="21" fillId="0" borderId="6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4" fontId="15" fillId="0" borderId="31" xfId="0" applyNumberFormat="1" applyFont="1" applyFill="1" applyBorder="1" applyAlignment="1">
      <alignment horizontal="right" vertical="center"/>
    </xf>
    <xf numFmtId="0" fontId="1" fillId="0" borderId="0" xfId="0" applyFont="1"/>
    <xf numFmtId="0" fontId="0" fillId="0" borderId="2" xfId="0" applyFill="1" applyBorder="1" applyAlignment="1">
      <alignment wrapText="1"/>
    </xf>
    <xf numFmtId="0" fontId="3" fillId="0" borderId="27" xfId="0" applyFont="1" applyFill="1" applyBorder="1" applyAlignment="1">
      <alignment horizontal="left" vertical="center" wrapText="1"/>
    </xf>
    <xf numFmtId="49" fontId="12" fillId="0" borderId="24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49" fontId="12" fillId="0" borderId="25" xfId="0" applyNumberFormat="1" applyFont="1" applyFill="1" applyBorder="1" applyAlignment="1">
      <alignment horizontal="center" vertical="center"/>
    </xf>
    <xf numFmtId="4" fontId="12" fillId="0" borderId="31" xfId="0" applyNumberFormat="1" applyFont="1" applyFill="1" applyBorder="1" applyAlignment="1">
      <alignment horizontal="right" vertical="center"/>
    </xf>
    <xf numFmtId="0" fontId="9" fillId="3" borderId="16" xfId="0" applyFont="1" applyFill="1" applyBorder="1" applyAlignment="1">
      <alignment horizontal="left" vertical="center" wrapText="1"/>
    </xf>
    <xf numFmtId="49" fontId="12" fillId="3" borderId="24" xfId="0" applyNumberFormat="1" applyFont="1" applyFill="1" applyBorder="1" applyAlignment="1">
      <alignment horizontal="center" vertical="center"/>
    </xf>
    <xf numFmtId="49" fontId="12" fillId="3" borderId="17" xfId="0" applyNumberFormat="1" applyFont="1" applyFill="1" applyBorder="1" applyAlignment="1">
      <alignment horizontal="center" vertical="center"/>
    </xf>
    <xf numFmtId="4" fontId="12" fillId="3" borderId="31" xfId="0" applyNumberFormat="1" applyFont="1" applyFill="1" applyBorder="1" applyAlignment="1">
      <alignment horizontal="right" vertical="center"/>
    </xf>
    <xf numFmtId="0" fontId="24" fillId="0" borderId="0" xfId="0" applyFont="1"/>
    <xf numFmtId="4" fontId="7" fillId="0" borderId="33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1" fontId="7" fillId="0" borderId="33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justify" wrapText="1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3" borderId="30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" fontId="13" fillId="0" borderId="28" xfId="0" applyNumberFormat="1" applyFont="1" applyFill="1" applyBorder="1" applyAlignment="1">
      <alignment horizontal="right" vertical="center"/>
    </xf>
    <xf numFmtId="0" fontId="13" fillId="0" borderId="0" xfId="0" applyFont="1"/>
    <xf numFmtId="49" fontId="6" fillId="0" borderId="15" xfId="0" applyNumberFormat="1" applyFont="1" applyFill="1" applyBorder="1" applyAlignment="1">
      <alignment horizontal="center" vertical="center"/>
    </xf>
    <xf numFmtId="4" fontId="6" fillId="0" borderId="28" xfId="0" applyNumberFormat="1" applyFont="1" applyFill="1" applyBorder="1" applyAlignment="1">
      <alignment horizontal="right" vertical="center"/>
    </xf>
    <xf numFmtId="0" fontId="6" fillId="0" borderId="0" xfId="0" applyFont="1"/>
    <xf numFmtId="49" fontId="8" fillId="0" borderId="1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" fontId="8" fillId="0" borderId="28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2" xfId="0" applyFont="1" applyFill="1" applyBorder="1" applyAlignment="1">
      <alignment wrapText="1"/>
    </xf>
    <xf numFmtId="0" fontId="9" fillId="3" borderId="27" xfId="0" applyFont="1" applyFill="1" applyBorder="1" applyAlignment="1">
      <alignment horizontal="left" vertical="center" wrapText="1"/>
    </xf>
    <xf numFmtId="49" fontId="5" fillId="3" borderId="12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" fontId="10" fillId="3" borderId="28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Fill="1" applyBorder="1"/>
    <xf numFmtId="0" fontId="18" fillId="0" borderId="0" xfId="0" applyFont="1" applyFill="1" applyBorder="1"/>
    <xf numFmtId="4" fontId="17" fillId="0" borderId="0" xfId="0" applyNumberFormat="1" applyFont="1" applyFill="1" applyBorder="1" applyAlignment="1">
      <alignment horizontal="right" vertical="center"/>
    </xf>
    <xf numFmtId="0" fontId="9" fillId="0" borderId="46" xfId="0" applyFont="1" applyFill="1" applyBorder="1" applyAlignment="1">
      <alignment horizontal="left" vertical="center" wrapText="1"/>
    </xf>
    <xf numFmtId="49" fontId="10" fillId="0" borderId="45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65" fontId="10" fillId="0" borderId="32" xfId="0" applyNumberFormat="1" applyFont="1" applyFill="1" applyBorder="1" applyAlignment="1">
      <alignment horizontal="right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49" fontId="3" fillId="0" borderId="30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quotePrefix="1" applyFont="1" applyFill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view="pageBreakPreview" zoomScale="80" zoomScaleNormal="100" zoomScaleSheetLayoutView="80" workbookViewId="0">
      <selection activeCell="F4" sqref="F4"/>
    </sheetView>
  </sheetViews>
  <sheetFormatPr defaultColWidth="9.140625" defaultRowHeight="12.75"/>
  <cols>
    <col min="1" max="1" width="72.140625" style="52" customWidth="1"/>
    <col min="2" max="2" width="6.42578125" style="53" customWidth="1"/>
    <col min="3" max="3" width="5.28515625" style="53" customWidth="1"/>
    <col min="4" max="4" width="18.7109375" style="22" customWidth="1"/>
    <col min="5" max="5" width="19.42578125" style="23" customWidth="1"/>
    <col min="6" max="6" width="17.42578125" style="23" customWidth="1"/>
    <col min="7" max="16384" width="9.140625" style="23"/>
  </cols>
  <sheetData>
    <row r="1" spans="1:6">
      <c r="F1" s="65" t="s">
        <v>391</v>
      </c>
    </row>
    <row r="2" spans="1:6">
      <c r="F2" s="62" t="s">
        <v>43</v>
      </c>
    </row>
    <row r="3" spans="1:6">
      <c r="F3" s="62" t="s">
        <v>401</v>
      </c>
    </row>
    <row r="4" spans="1:6">
      <c r="F4" s="65" t="s">
        <v>413</v>
      </c>
    </row>
    <row r="5" spans="1:6" s="155" customFormat="1">
      <c r="A5" s="52"/>
      <c r="B5" s="53"/>
      <c r="C5" s="53"/>
      <c r="D5" s="65"/>
    </row>
    <row r="6" spans="1:6" ht="36.75" customHeight="1">
      <c r="A6" s="238" t="s">
        <v>402</v>
      </c>
      <c r="B6" s="238"/>
      <c r="C6" s="238"/>
      <c r="D6" s="238"/>
      <c r="E6" s="239"/>
      <c r="F6" s="239"/>
    </row>
    <row r="7" spans="1:6">
      <c r="F7" s="129"/>
    </row>
    <row r="8" spans="1:6" ht="43.5" customHeight="1">
      <c r="A8" s="232" t="s">
        <v>10</v>
      </c>
      <c r="B8" s="234" t="s">
        <v>11</v>
      </c>
      <c r="C8" s="236" t="s">
        <v>12</v>
      </c>
      <c r="D8" s="230" t="s">
        <v>398</v>
      </c>
      <c r="E8" s="231"/>
      <c r="F8" s="231"/>
    </row>
    <row r="9" spans="1:6" ht="25.5" customHeight="1">
      <c r="A9" s="233"/>
      <c r="B9" s="235"/>
      <c r="C9" s="237"/>
      <c r="D9" s="185" t="s">
        <v>276</v>
      </c>
      <c r="E9" s="185" t="s">
        <v>277</v>
      </c>
      <c r="F9" s="185" t="s">
        <v>278</v>
      </c>
    </row>
    <row r="10" spans="1:6" ht="11.25" customHeight="1">
      <c r="A10" s="8">
        <v>1</v>
      </c>
      <c r="B10" s="24">
        <v>2</v>
      </c>
      <c r="C10" s="54">
        <v>3</v>
      </c>
      <c r="D10" s="54">
        <v>4</v>
      </c>
      <c r="E10" s="54">
        <v>5</v>
      </c>
      <c r="F10" s="54">
        <v>6</v>
      </c>
    </row>
    <row r="11" spans="1:6">
      <c r="A11" s="55"/>
      <c r="B11" s="56"/>
      <c r="C11" s="57"/>
      <c r="D11" s="187"/>
    </row>
    <row r="12" spans="1:6">
      <c r="A12" s="4" t="s">
        <v>32</v>
      </c>
      <c r="B12" s="14" t="s">
        <v>20</v>
      </c>
      <c r="C12" s="1"/>
      <c r="D12" s="94">
        <f>SUM(D13:D20)</f>
        <v>228897189.08999997</v>
      </c>
      <c r="E12" s="94">
        <f t="shared" ref="E12:F12" si="0">SUM(E13:E20)</f>
        <v>218025159.79000002</v>
      </c>
      <c r="F12" s="94">
        <f t="shared" si="0"/>
        <v>215835049.05999997</v>
      </c>
    </row>
    <row r="13" spans="1:6" ht="29.25" customHeight="1">
      <c r="A13" s="152" t="s">
        <v>45</v>
      </c>
      <c r="B13" s="1" t="s">
        <v>20</v>
      </c>
      <c r="C13" s="1" t="s">
        <v>17</v>
      </c>
      <c r="D13" s="89">
        <f>ведомств!J356</f>
        <v>3920905</v>
      </c>
      <c r="E13" s="89">
        <f>ведомств!K356</f>
        <v>3960114.35</v>
      </c>
      <c r="F13" s="89">
        <f>ведомств!L356</f>
        <v>3999715.49</v>
      </c>
    </row>
    <row r="14" spans="1:6" ht="38.25">
      <c r="A14" s="2" t="s">
        <v>33</v>
      </c>
      <c r="B14" s="1" t="s">
        <v>20</v>
      </c>
      <c r="C14" s="1" t="s">
        <v>13</v>
      </c>
      <c r="D14" s="89">
        <f>ведомств!J683</f>
        <v>2935867</v>
      </c>
      <c r="E14" s="89">
        <f>ведомств!K683</f>
        <v>2962777.96</v>
      </c>
      <c r="F14" s="89">
        <f>ведомств!L683</f>
        <v>2989958.74</v>
      </c>
    </row>
    <row r="15" spans="1:6" ht="38.25">
      <c r="A15" s="152" t="s">
        <v>0</v>
      </c>
      <c r="B15" s="1" t="s">
        <v>20</v>
      </c>
      <c r="C15" s="1" t="s">
        <v>16</v>
      </c>
      <c r="D15" s="89">
        <f>ведомств!J362</f>
        <v>111104872.36999999</v>
      </c>
      <c r="E15" s="89">
        <f>ведомств!K362</f>
        <v>112545617.75</v>
      </c>
      <c r="F15" s="89">
        <f>ведомств!L362</f>
        <v>112915487.33999999</v>
      </c>
    </row>
    <row r="16" spans="1:6">
      <c r="A16" s="11" t="s">
        <v>191</v>
      </c>
      <c r="B16" s="1" t="s">
        <v>20</v>
      </c>
      <c r="C16" s="1" t="s">
        <v>18</v>
      </c>
      <c r="D16" s="89">
        <f>ведомств!J394</f>
        <v>2109.33</v>
      </c>
      <c r="E16" s="89">
        <f>ведомств!K394</f>
        <v>1879.4</v>
      </c>
      <c r="F16" s="89">
        <f>ведомств!L394</f>
        <v>1878.66</v>
      </c>
    </row>
    <row r="17" spans="1:6" ht="25.5">
      <c r="A17" s="150" t="s">
        <v>34</v>
      </c>
      <c r="B17" s="1" t="s">
        <v>20</v>
      </c>
      <c r="C17" s="1" t="s">
        <v>3</v>
      </c>
      <c r="D17" s="89">
        <f>ведомств!J696+ведомств!J333</f>
        <v>23200431</v>
      </c>
      <c r="E17" s="89">
        <f>ведомств!K696+ведомств!K333</f>
        <v>23416931.289999999</v>
      </c>
      <c r="F17" s="89">
        <f>ведомств!L696+ведомств!L333</f>
        <v>23502596.600000001</v>
      </c>
    </row>
    <row r="18" spans="1:6" hidden="1">
      <c r="A18" s="5" t="s">
        <v>64</v>
      </c>
      <c r="B18" s="1" t="s">
        <v>20</v>
      </c>
      <c r="C18" s="1" t="s">
        <v>2</v>
      </c>
      <c r="D18" s="89"/>
      <c r="E18" s="89"/>
      <c r="F18" s="89"/>
    </row>
    <row r="19" spans="1:6">
      <c r="A19" s="149" t="s">
        <v>22</v>
      </c>
      <c r="B19" s="1" t="s">
        <v>20</v>
      </c>
      <c r="C19" s="1" t="s">
        <v>19</v>
      </c>
      <c r="D19" s="89">
        <f>ведомств!J342</f>
        <v>3382000</v>
      </c>
      <c r="E19" s="89">
        <f>ведомств!K342</f>
        <v>2000000</v>
      </c>
      <c r="F19" s="89">
        <f>ведомств!L342</f>
        <v>1500000</v>
      </c>
    </row>
    <row r="20" spans="1:6">
      <c r="A20" s="149" t="s">
        <v>1</v>
      </c>
      <c r="B20" s="1" t="s">
        <v>20</v>
      </c>
      <c r="C20" s="1" t="s">
        <v>49</v>
      </c>
      <c r="D20" s="89">
        <f>ведомств!J14+ведомств!J400+ведомств!J348+ведомств!J291</f>
        <v>84351004.390000001</v>
      </c>
      <c r="E20" s="89">
        <f>ведомств!K14+ведомств!K400+ведомств!K348+ведомств!K291</f>
        <v>73137839.040000007</v>
      </c>
      <c r="F20" s="89">
        <f>ведомств!L14+ведомств!L400+ведомств!L348+ведомств!L291</f>
        <v>70925412.229999989</v>
      </c>
    </row>
    <row r="21" spans="1:6">
      <c r="A21" s="58"/>
      <c r="B21" s="39"/>
      <c r="C21" s="39"/>
      <c r="D21" s="89"/>
      <c r="E21" s="89"/>
      <c r="F21" s="89"/>
    </row>
    <row r="22" spans="1:6">
      <c r="A22" s="6" t="s">
        <v>54</v>
      </c>
      <c r="B22" s="14" t="s">
        <v>17</v>
      </c>
      <c r="C22" s="1"/>
      <c r="D22" s="94">
        <f>+D23</f>
        <v>621621.58000000007</v>
      </c>
      <c r="E22" s="94">
        <f t="shared" ref="E22:F22" si="1">+E23</f>
        <v>650717.02999999991</v>
      </c>
      <c r="F22" s="94">
        <f t="shared" si="1"/>
        <v>669603.63</v>
      </c>
    </row>
    <row r="23" spans="1:6">
      <c r="A23" s="5" t="s">
        <v>55</v>
      </c>
      <c r="B23" s="1" t="s">
        <v>17</v>
      </c>
      <c r="C23" s="1" t="s">
        <v>13</v>
      </c>
      <c r="D23" s="89">
        <f>ведомств!J431</f>
        <v>621621.58000000007</v>
      </c>
      <c r="E23" s="89">
        <f>ведомств!K431</f>
        <v>650717.02999999991</v>
      </c>
      <c r="F23" s="89">
        <f>ведомств!L431</f>
        <v>669603.63</v>
      </c>
    </row>
    <row r="24" spans="1:6" ht="12.75" customHeight="1">
      <c r="A24" s="58"/>
      <c r="B24" s="39"/>
      <c r="C24" s="39"/>
      <c r="D24" s="89"/>
      <c r="E24" s="89"/>
      <c r="F24" s="89"/>
    </row>
    <row r="25" spans="1:6" ht="12.75" customHeight="1">
      <c r="A25" s="6" t="s">
        <v>26</v>
      </c>
      <c r="B25" s="14" t="s">
        <v>13</v>
      </c>
      <c r="C25" s="1"/>
      <c r="D25" s="94">
        <f>SUM(D26:D29)</f>
        <v>5759468</v>
      </c>
      <c r="E25" s="94">
        <f t="shared" ref="E25:F25" si="2">SUM(E26:E29)</f>
        <v>4408686.72</v>
      </c>
      <c r="F25" s="94">
        <f t="shared" si="2"/>
        <v>3122434.19</v>
      </c>
    </row>
    <row r="26" spans="1:6" hidden="1">
      <c r="A26" s="86" t="s">
        <v>138</v>
      </c>
      <c r="B26" s="10" t="s">
        <v>13</v>
      </c>
      <c r="C26" s="1" t="s">
        <v>17</v>
      </c>
      <c r="D26" s="98"/>
      <c r="E26" s="98"/>
      <c r="F26" s="98"/>
    </row>
    <row r="27" spans="1:6" hidden="1">
      <c r="A27" s="149" t="s">
        <v>229</v>
      </c>
      <c r="B27" s="1" t="s">
        <v>13</v>
      </c>
      <c r="C27" s="1" t="s">
        <v>14</v>
      </c>
      <c r="D27" s="89"/>
      <c r="E27" s="89"/>
      <c r="F27" s="89"/>
    </row>
    <row r="28" spans="1:6" ht="25.5">
      <c r="A28" s="12" t="s">
        <v>230</v>
      </c>
      <c r="B28" s="1" t="s">
        <v>13</v>
      </c>
      <c r="C28" s="1" t="s">
        <v>30</v>
      </c>
      <c r="D28" s="89">
        <f>+ведомств!J440</f>
        <v>5689468</v>
      </c>
      <c r="E28" s="89">
        <f>+ведомств!K440</f>
        <v>4338686.72</v>
      </c>
      <c r="F28" s="89">
        <f>+ведомств!L440</f>
        <v>3052434.19</v>
      </c>
    </row>
    <row r="29" spans="1:6" ht="25.5">
      <c r="A29" s="12" t="s">
        <v>192</v>
      </c>
      <c r="B29" s="1" t="s">
        <v>13</v>
      </c>
      <c r="C29" s="1" t="s">
        <v>29</v>
      </c>
      <c r="D29" s="89">
        <f>ведомств!J461</f>
        <v>70000</v>
      </c>
      <c r="E29" s="89">
        <f>ведомств!K461</f>
        <v>70000</v>
      </c>
      <c r="F29" s="89">
        <f>ведомств!L461</f>
        <v>70000</v>
      </c>
    </row>
    <row r="30" spans="1:6">
      <c r="A30" s="58"/>
      <c r="B30" s="39"/>
      <c r="C30" s="39"/>
      <c r="D30" s="89"/>
      <c r="E30" s="89"/>
      <c r="F30" s="89"/>
    </row>
    <row r="31" spans="1:6">
      <c r="A31" s="4" t="s">
        <v>15</v>
      </c>
      <c r="B31" s="59" t="s">
        <v>16</v>
      </c>
      <c r="C31" s="3"/>
      <c r="D31" s="94">
        <f>SUM(D32:D35)</f>
        <v>61250989</v>
      </c>
      <c r="E31" s="94">
        <f t="shared" ref="E31:F31" si="3">SUM(E32:E35)</f>
        <v>32635565.830000002</v>
      </c>
      <c r="F31" s="94">
        <f t="shared" si="3"/>
        <v>34177643.159999996</v>
      </c>
    </row>
    <row r="32" spans="1:6">
      <c r="A32" s="149" t="s">
        <v>36</v>
      </c>
      <c r="B32" s="1" t="s">
        <v>16</v>
      </c>
      <c r="C32" s="1" t="s">
        <v>18</v>
      </c>
      <c r="D32" s="89">
        <f>ведомств!J474</f>
        <v>575200</v>
      </c>
      <c r="E32" s="89">
        <f>ведомств!K474</f>
        <v>580479.06999999995</v>
      </c>
      <c r="F32" s="89">
        <f>ведомств!L474</f>
        <v>1035783.86</v>
      </c>
    </row>
    <row r="33" spans="1:6">
      <c r="A33" s="2" t="s">
        <v>23</v>
      </c>
      <c r="B33" s="1" t="s">
        <v>16</v>
      </c>
      <c r="C33" s="1" t="s">
        <v>27</v>
      </c>
      <c r="D33" s="89">
        <f>+ведомств!J487</f>
        <v>30941700</v>
      </c>
      <c r="E33" s="89">
        <f>+ведомств!K487</f>
        <v>5569055.0700000003</v>
      </c>
      <c r="F33" s="89">
        <f>+ведомств!L487</f>
        <v>5595727.6200000001</v>
      </c>
    </row>
    <row r="34" spans="1:6">
      <c r="A34" s="149" t="s">
        <v>60</v>
      </c>
      <c r="B34" s="1" t="s">
        <v>16</v>
      </c>
      <c r="C34" s="1" t="s">
        <v>14</v>
      </c>
      <c r="D34" s="89">
        <f>ведомств!J504</f>
        <v>27679339</v>
      </c>
      <c r="E34" s="89">
        <f>ведомств!K504</f>
        <v>26191349.690000001</v>
      </c>
      <c r="F34" s="89">
        <f>ведомств!L504</f>
        <v>27031449.68</v>
      </c>
    </row>
    <row r="35" spans="1:6">
      <c r="A35" s="149" t="s">
        <v>37</v>
      </c>
      <c r="B35" s="1" t="s">
        <v>16</v>
      </c>
      <c r="C35" s="1" t="s">
        <v>31</v>
      </c>
      <c r="D35" s="89">
        <f>ведомств!J526+ведомств!J306</f>
        <v>2054750</v>
      </c>
      <c r="E35" s="89">
        <f>ведомств!K526+ведомств!K306</f>
        <v>294682</v>
      </c>
      <c r="F35" s="89">
        <f>ведомств!L526+ведомств!L306</f>
        <v>514682</v>
      </c>
    </row>
    <row r="36" spans="1:6">
      <c r="A36" s="58"/>
      <c r="B36" s="39"/>
      <c r="C36" s="39"/>
      <c r="D36" s="89"/>
      <c r="E36" s="89"/>
      <c r="F36" s="89"/>
    </row>
    <row r="37" spans="1:6">
      <c r="A37" s="64" t="s">
        <v>46</v>
      </c>
      <c r="B37" s="59" t="s">
        <v>18</v>
      </c>
      <c r="C37" s="39"/>
      <c r="D37" s="94">
        <f>SUM(D38:D41)</f>
        <v>54346555.200000003</v>
      </c>
      <c r="E37" s="94">
        <f t="shared" ref="E37:F37" si="4">SUM(E38:E41)</f>
        <v>29866746.900000002</v>
      </c>
      <c r="F37" s="94">
        <f t="shared" si="4"/>
        <v>29708006.140000001</v>
      </c>
    </row>
    <row r="38" spans="1:6">
      <c r="A38" s="130" t="s">
        <v>61</v>
      </c>
      <c r="B38" s="1" t="s">
        <v>18</v>
      </c>
      <c r="C38" s="1" t="s">
        <v>20</v>
      </c>
      <c r="D38" s="89">
        <f>ведомств!J543+ведомств!J313</f>
        <v>16319870.199999999</v>
      </c>
      <c r="E38" s="89">
        <f>ведомств!K543+ведомств!K313</f>
        <v>4041522.32</v>
      </c>
      <c r="F38" s="89">
        <f>ведомств!L543+ведомств!L313</f>
        <v>3955863.21</v>
      </c>
    </row>
    <row r="39" spans="1:6">
      <c r="A39" s="130" t="s">
        <v>47</v>
      </c>
      <c r="B39" s="1" t="s">
        <v>18</v>
      </c>
      <c r="C39" s="1" t="s">
        <v>17</v>
      </c>
      <c r="D39" s="89">
        <f>ведомств!J560</f>
        <v>12249183</v>
      </c>
      <c r="E39" s="89">
        <f>ведомств!K560</f>
        <v>7198522.4499999993</v>
      </c>
      <c r="F39" s="89">
        <f>ведомств!L560</f>
        <v>7412302.0999999996</v>
      </c>
    </row>
    <row r="40" spans="1:6" s="155" customFormat="1">
      <c r="A40" s="58" t="s">
        <v>68</v>
      </c>
      <c r="B40" s="1" t="s">
        <v>18</v>
      </c>
      <c r="C40" s="1" t="s">
        <v>13</v>
      </c>
      <c r="D40" s="89">
        <f>ведомств!J585</f>
        <v>25777502</v>
      </c>
      <c r="E40" s="89">
        <f>ведомств!K585</f>
        <v>18626702.130000003</v>
      </c>
      <c r="F40" s="89">
        <f>ведомств!L585</f>
        <v>18339840.830000002</v>
      </c>
    </row>
    <row r="41" spans="1:6" hidden="1">
      <c r="A41" s="130" t="s">
        <v>239</v>
      </c>
      <c r="B41" s="148" t="s">
        <v>18</v>
      </c>
      <c r="C41" s="148" t="s">
        <v>18</v>
      </c>
      <c r="D41" s="89"/>
      <c r="E41" s="89"/>
      <c r="F41" s="89"/>
    </row>
    <row r="42" spans="1:6">
      <c r="A42" s="58"/>
      <c r="B42" s="1"/>
      <c r="C42" s="1"/>
      <c r="D42" s="89"/>
      <c r="E42" s="89"/>
      <c r="F42" s="89"/>
    </row>
    <row r="43" spans="1:6" ht="12" customHeight="1">
      <c r="A43" s="4" t="s">
        <v>65</v>
      </c>
      <c r="B43" s="14" t="s">
        <v>3</v>
      </c>
      <c r="C43" s="1"/>
      <c r="D43" s="94">
        <f>D44+D45</f>
        <v>10869000</v>
      </c>
      <c r="E43" s="94">
        <f t="shared" ref="E43:F43" si="5">E44+E45</f>
        <v>10869000</v>
      </c>
      <c r="F43" s="94">
        <f t="shared" si="5"/>
        <v>10869000</v>
      </c>
    </row>
    <row r="44" spans="1:6" ht="12" hidden="1" customHeight="1">
      <c r="A44" s="2" t="s">
        <v>66</v>
      </c>
      <c r="B44" s="1" t="s">
        <v>3</v>
      </c>
      <c r="C44" s="1" t="s">
        <v>13</v>
      </c>
      <c r="D44" s="89"/>
      <c r="E44" s="89"/>
      <c r="F44" s="89"/>
    </row>
    <row r="45" spans="1:6">
      <c r="A45" s="149" t="s">
        <v>217</v>
      </c>
      <c r="B45" s="1" t="s">
        <v>3</v>
      </c>
      <c r="C45" s="1" t="s">
        <v>18</v>
      </c>
      <c r="D45" s="89">
        <f>ведомств!J610</f>
        <v>10869000</v>
      </c>
      <c r="E45" s="89">
        <f>ведомств!K610</f>
        <v>10869000</v>
      </c>
      <c r="F45" s="89">
        <f>ведомств!L610</f>
        <v>10869000</v>
      </c>
    </row>
    <row r="46" spans="1:6">
      <c r="A46" s="58"/>
      <c r="B46" s="1"/>
      <c r="C46" s="1"/>
      <c r="D46" s="89"/>
      <c r="E46" s="89"/>
      <c r="F46" s="89"/>
    </row>
    <row r="47" spans="1:6">
      <c r="A47" s="4" t="s">
        <v>24</v>
      </c>
      <c r="B47" s="15" t="s">
        <v>2</v>
      </c>
      <c r="C47" s="1"/>
      <c r="D47" s="94">
        <f>SUM(D48:D52)</f>
        <v>468759943.85000002</v>
      </c>
      <c r="E47" s="94">
        <f t="shared" ref="E47:F47" si="6">SUM(E48:E52)</f>
        <v>456753777.13999999</v>
      </c>
      <c r="F47" s="94">
        <f t="shared" si="6"/>
        <v>464026725.60000002</v>
      </c>
    </row>
    <row r="48" spans="1:6">
      <c r="A48" s="60" t="s">
        <v>8</v>
      </c>
      <c r="B48" s="61" t="s">
        <v>2</v>
      </c>
      <c r="C48" s="61" t="s">
        <v>20</v>
      </c>
      <c r="D48" s="89">
        <f>ведомств!J136</f>
        <v>92670235</v>
      </c>
      <c r="E48" s="89">
        <f>ведомств!K136</f>
        <v>91030997.620000005</v>
      </c>
      <c r="F48" s="89">
        <f>ведомств!L136</f>
        <v>90712509.200000003</v>
      </c>
    </row>
    <row r="49" spans="1:6">
      <c r="A49" s="149" t="s">
        <v>25</v>
      </c>
      <c r="B49" s="1" t="s">
        <v>2</v>
      </c>
      <c r="C49" s="1" t="s">
        <v>17</v>
      </c>
      <c r="D49" s="89">
        <f>ведомств!J152</f>
        <v>309079104.48000002</v>
      </c>
      <c r="E49" s="89">
        <f>ведомств!K152</f>
        <v>303362208.33000004</v>
      </c>
      <c r="F49" s="89">
        <f>ведомств!L152</f>
        <v>310417017.47000003</v>
      </c>
    </row>
    <row r="50" spans="1:6">
      <c r="A50" s="2" t="s">
        <v>203</v>
      </c>
      <c r="B50" s="1" t="s">
        <v>2</v>
      </c>
      <c r="C50" s="1" t="s">
        <v>13</v>
      </c>
      <c r="D50" s="89">
        <f>ведомств!J29+ведомств!J185</f>
        <v>43262115</v>
      </c>
      <c r="E50" s="89">
        <f>ведомств!K29+ведомств!K185</f>
        <v>38410124.530000001</v>
      </c>
      <c r="F50" s="89">
        <f>ведомств!L29+ведомств!L185</f>
        <v>38652454.950000003</v>
      </c>
    </row>
    <row r="51" spans="1:6">
      <c r="A51" s="2" t="s">
        <v>200</v>
      </c>
      <c r="B51" s="1" t="s">
        <v>2</v>
      </c>
      <c r="C51" s="1" t="s">
        <v>2</v>
      </c>
      <c r="D51" s="89">
        <f>ведомств!J45+ведомств!J216</f>
        <v>5294590.37</v>
      </c>
      <c r="E51" s="89">
        <f>ведомств!K45+ведомств!K216</f>
        <v>5320948.13</v>
      </c>
      <c r="F51" s="89">
        <f>ведомств!L45+ведомств!L216</f>
        <v>5537890.4699999997</v>
      </c>
    </row>
    <row r="52" spans="1:6">
      <c r="A52" s="2" t="s">
        <v>35</v>
      </c>
      <c r="B52" s="1" t="s">
        <v>2</v>
      </c>
      <c r="C52" s="1" t="s">
        <v>14</v>
      </c>
      <c r="D52" s="89">
        <f>ведомств!J235</f>
        <v>18453899</v>
      </c>
      <c r="E52" s="89">
        <f>ведомств!K235</f>
        <v>18629498.530000001</v>
      </c>
      <c r="F52" s="89">
        <f>ведомств!L235</f>
        <v>18706853.510000002</v>
      </c>
    </row>
    <row r="53" spans="1:6" ht="13.5" customHeight="1">
      <c r="A53" s="58"/>
      <c r="B53" s="39"/>
      <c r="C53" s="39"/>
      <c r="D53" s="89"/>
      <c r="E53" s="89"/>
      <c r="F53" s="89"/>
    </row>
    <row r="54" spans="1:6">
      <c r="A54" s="4" t="s">
        <v>201</v>
      </c>
      <c r="B54" s="15" t="s">
        <v>27</v>
      </c>
      <c r="C54" s="1"/>
      <c r="D54" s="94">
        <f>SUM(D55:D56)</f>
        <v>114655072.81</v>
      </c>
      <c r="E54" s="94">
        <f t="shared" ref="E54:F54" si="7">SUM(E55:E56)</f>
        <v>115006207.56999999</v>
      </c>
      <c r="F54" s="94">
        <f t="shared" si="7"/>
        <v>115030621.29999998</v>
      </c>
    </row>
    <row r="55" spans="1:6">
      <c r="A55" s="149" t="s">
        <v>28</v>
      </c>
      <c r="B55" s="1" t="s">
        <v>27</v>
      </c>
      <c r="C55" s="1" t="s">
        <v>20</v>
      </c>
      <c r="D55" s="89">
        <f>ведомств!J52</f>
        <v>101055368.81</v>
      </c>
      <c r="E55" s="89">
        <f>ведомств!K52</f>
        <v>101274216.44</v>
      </c>
      <c r="F55" s="89">
        <f>ведомств!L52</f>
        <v>101235020.25999999</v>
      </c>
    </row>
    <row r="56" spans="1:6">
      <c r="A56" s="149" t="s">
        <v>202</v>
      </c>
      <c r="B56" s="1" t="s">
        <v>27</v>
      </c>
      <c r="C56" s="1" t="s">
        <v>16</v>
      </c>
      <c r="D56" s="89">
        <f>ведомств!J103</f>
        <v>13599704</v>
      </c>
      <c r="E56" s="89">
        <f>ведомств!K103</f>
        <v>13731991.130000001</v>
      </c>
      <c r="F56" s="89">
        <f>ведомств!L103</f>
        <v>13795601.039999999</v>
      </c>
    </row>
    <row r="57" spans="1:6">
      <c r="A57" s="58"/>
      <c r="B57" s="39"/>
      <c r="C57" s="39"/>
      <c r="D57" s="89"/>
      <c r="E57" s="89"/>
      <c r="F57" s="89"/>
    </row>
    <row r="58" spans="1:6">
      <c r="A58" s="19" t="s">
        <v>128</v>
      </c>
      <c r="B58" s="14" t="s">
        <v>14</v>
      </c>
      <c r="C58" s="39"/>
      <c r="D58" s="94">
        <f>D59</f>
        <v>672500</v>
      </c>
      <c r="E58" s="94">
        <f t="shared" ref="E58:F58" si="8">E59</f>
        <v>172500</v>
      </c>
      <c r="F58" s="94">
        <f t="shared" si="8"/>
        <v>57500</v>
      </c>
    </row>
    <row r="59" spans="1:6" ht="15" customHeight="1">
      <c r="A59" s="149" t="s">
        <v>129</v>
      </c>
      <c r="B59" s="92" t="s">
        <v>14</v>
      </c>
      <c r="C59" s="92" t="s">
        <v>14</v>
      </c>
      <c r="D59" s="89">
        <f>ведомств!J622</f>
        <v>672500</v>
      </c>
      <c r="E59" s="89">
        <f>ведомств!K622</f>
        <v>172500</v>
      </c>
      <c r="F59" s="89">
        <f>ведомств!L622</f>
        <v>57500</v>
      </c>
    </row>
    <row r="60" spans="1:6">
      <c r="A60" s="58"/>
      <c r="B60" s="92"/>
      <c r="C60" s="39"/>
      <c r="D60" s="89"/>
      <c r="E60" s="89"/>
      <c r="F60" s="89"/>
    </row>
    <row r="61" spans="1:6">
      <c r="A61" s="4" t="s">
        <v>5</v>
      </c>
      <c r="B61" s="15" t="s">
        <v>30</v>
      </c>
      <c r="C61" s="1"/>
      <c r="D61" s="94">
        <f>SUM(D62:D65)</f>
        <v>28545662.41</v>
      </c>
      <c r="E61" s="94">
        <f t="shared" ref="E61:F61" si="9">SUM(E62:E65)</f>
        <v>15089804.539999999</v>
      </c>
      <c r="F61" s="94">
        <f t="shared" si="9"/>
        <v>15370169.6</v>
      </c>
    </row>
    <row r="62" spans="1:6">
      <c r="A62" s="149" t="s">
        <v>6</v>
      </c>
      <c r="B62" s="1" t="s">
        <v>30</v>
      </c>
      <c r="C62" s="1" t="s">
        <v>20</v>
      </c>
      <c r="D62" s="89">
        <f>ведомств!J635</f>
        <v>4277700</v>
      </c>
      <c r="E62" s="89">
        <f>ведомств!K635</f>
        <v>4277700</v>
      </c>
      <c r="F62" s="89">
        <f>ведомств!L635</f>
        <v>4277700</v>
      </c>
    </row>
    <row r="63" spans="1:6">
      <c r="A63" s="2" t="s">
        <v>7</v>
      </c>
      <c r="B63" s="1" t="s">
        <v>30</v>
      </c>
      <c r="C63" s="1" t="s">
        <v>13</v>
      </c>
      <c r="D63" s="89">
        <f>+ведомств!J643</f>
        <v>13927680</v>
      </c>
      <c r="E63" s="89">
        <f>+ведомств!K643</f>
        <v>468000</v>
      </c>
      <c r="F63" s="89">
        <f>+ведомств!L643</f>
        <v>468000</v>
      </c>
    </row>
    <row r="64" spans="1:6">
      <c r="A64" s="7" t="s">
        <v>21</v>
      </c>
      <c r="B64" s="1" t="s">
        <v>30</v>
      </c>
      <c r="C64" s="1" t="s">
        <v>16</v>
      </c>
      <c r="D64" s="89">
        <f>ведомств!J263+ведомств!J667+ведомств!J114</f>
        <v>7543428.5</v>
      </c>
      <c r="E64" s="89">
        <f>ведомств!K263+ведомств!K667+ведомств!K114</f>
        <v>7301349.3300000001</v>
      </c>
      <c r="F64" s="89">
        <f>ведомств!L263+ведомств!L667+ведомств!L114</f>
        <v>7194631.0600000005</v>
      </c>
    </row>
    <row r="65" spans="1:6">
      <c r="A65" s="7" t="s">
        <v>59</v>
      </c>
      <c r="B65" s="1" t="s">
        <v>30</v>
      </c>
      <c r="C65" s="1" t="s">
        <v>3</v>
      </c>
      <c r="D65" s="89">
        <f>ведомств!J277</f>
        <v>2796853.9099999997</v>
      </c>
      <c r="E65" s="89">
        <f>ведомств!K277</f>
        <v>3042755.21</v>
      </c>
      <c r="F65" s="89">
        <f>ведомств!L277</f>
        <v>3429838.5399999996</v>
      </c>
    </row>
    <row r="66" spans="1:6" ht="12" customHeight="1">
      <c r="A66" s="58"/>
      <c r="B66" s="39"/>
      <c r="C66" s="39"/>
      <c r="D66" s="89"/>
      <c r="E66" s="89"/>
      <c r="F66" s="89"/>
    </row>
    <row r="67" spans="1:6">
      <c r="A67" s="4" t="s">
        <v>4</v>
      </c>
      <c r="B67" s="15" t="s">
        <v>19</v>
      </c>
      <c r="C67" s="1"/>
      <c r="D67" s="94">
        <f>SUM(D68:D70)</f>
        <v>760000</v>
      </c>
      <c r="E67" s="94">
        <f t="shared" ref="E67:F67" si="10">SUM(E68:E70)</f>
        <v>760000</v>
      </c>
      <c r="F67" s="94">
        <f t="shared" si="10"/>
        <v>760000</v>
      </c>
    </row>
    <row r="68" spans="1:6">
      <c r="A68" s="150" t="s">
        <v>51</v>
      </c>
      <c r="B68" s="1" t="s">
        <v>19</v>
      </c>
      <c r="C68" s="1" t="s">
        <v>20</v>
      </c>
      <c r="D68" s="89">
        <f>ведомств!J121</f>
        <v>760000</v>
      </c>
      <c r="E68" s="89">
        <f>ведомств!K121</f>
        <v>760000</v>
      </c>
      <c r="F68" s="89">
        <f>ведомств!L121</f>
        <v>760000</v>
      </c>
    </row>
    <row r="69" spans="1:6" hidden="1">
      <c r="A69" s="63" t="s">
        <v>69</v>
      </c>
      <c r="B69" s="37" t="s">
        <v>19</v>
      </c>
      <c r="C69" s="37" t="s">
        <v>17</v>
      </c>
      <c r="D69" s="95"/>
      <c r="E69" s="95"/>
      <c r="F69" s="95"/>
    </row>
    <row r="70" spans="1:6" hidden="1">
      <c r="A70" s="81" t="s">
        <v>126</v>
      </c>
      <c r="B70" s="37" t="s">
        <v>19</v>
      </c>
      <c r="C70" s="37" t="s">
        <v>13</v>
      </c>
      <c r="D70" s="87"/>
      <c r="E70" s="159"/>
      <c r="F70" s="159"/>
    </row>
    <row r="71" spans="1:6" hidden="1">
      <c r="A71" s="63"/>
      <c r="B71" s="37"/>
      <c r="C71" s="37"/>
      <c r="D71" s="95"/>
      <c r="E71" s="95"/>
      <c r="F71" s="95"/>
    </row>
    <row r="72" spans="1:6" hidden="1">
      <c r="A72" s="4" t="s">
        <v>56</v>
      </c>
      <c r="B72" s="15" t="s">
        <v>31</v>
      </c>
      <c r="C72" s="1"/>
      <c r="D72" s="94">
        <f>SUM(D73)</f>
        <v>0</v>
      </c>
      <c r="E72" s="94">
        <f t="shared" ref="E72:F72" si="11">SUM(E73)</f>
        <v>0</v>
      </c>
      <c r="F72" s="94">
        <f t="shared" si="11"/>
        <v>0</v>
      </c>
    </row>
    <row r="73" spans="1:6" hidden="1">
      <c r="A73" s="63" t="s">
        <v>57</v>
      </c>
      <c r="B73" s="37" t="s">
        <v>31</v>
      </c>
      <c r="C73" s="37" t="s">
        <v>20</v>
      </c>
      <c r="D73" s="95"/>
      <c r="E73" s="95"/>
      <c r="F73" s="95"/>
    </row>
    <row r="74" spans="1:6">
      <c r="A74" s="63"/>
      <c r="B74" s="37"/>
      <c r="C74" s="37"/>
      <c r="D74" s="95"/>
      <c r="E74" s="95"/>
      <c r="F74" s="95"/>
    </row>
    <row r="75" spans="1:6" ht="12.75" customHeight="1">
      <c r="A75" s="4" t="s">
        <v>112</v>
      </c>
      <c r="B75" s="15" t="s">
        <v>49</v>
      </c>
      <c r="C75" s="1"/>
      <c r="D75" s="94">
        <f>SUM(D76)</f>
        <v>10000</v>
      </c>
      <c r="E75" s="94">
        <f t="shared" ref="E75:F75" si="12">SUM(E76)</f>
        <v>10000</v>
      </c>
      <c r="F75" s="94">
        <f t="shared" si="12"/>
        <v>9600</v>
      </c>
    </row>
    <row r="76" spans="1:6">
      <c r="A76" s="63" t="s">
        <v>261</v>
      </c>
      <c r="B76" s="37" t="s">
        <v>49</v>
      </c>
      <c r="C76" s="37" t="s">
        <v>20</v>
      </c>
      <c r="D76" s="95">
        <f>ведомств!J674</f>
        <v>10000</v>
      </c>
      <c r="E76" s="95">
        <f>ведомств!K674</f>
        <v>10000</v>
      </c>
      <c r="F76" s="95">
        <f>ведомств!L674</f>
        <v>9600</v>
      </c>
    </row>
    <row r="77" spans="1:6" s="155" customFormat="1">
      <c r="A77" s="222" t="s">
        <v>389</v>
      </c>
      <c r="B77" s="223"/>
      <c r="C77" s="224"/>
      <c r="D77" s="225"/>
      <c r="E77" s="225">
        <f>ведомств!K704</f>
        <v>16087000</v>
      </c>
      <c r="F77" s="225">
        <f>ведомств!L704</f>
        <v>32828000</v>
      </c>
    </row>
    <row r="78" spans="1:6" ht="15">
      <c r="A78" s="70" t="s">
        <v>279</v>
      </c>
      <c r="B78" s="71"/>
      <c r="C78" s="72"/>
      <c r="D78" s="93">
        <f>+D12+D22+D25+D31+D43+D37+D47+D54+D61+D67+D72+D75+D58+D77</f>
        <v>975148001.93999994</v>
      </c>
      <c r="E78" s="93">
        <f t="shared" ref="E78:F78" si="13">+E12+E22+E25+E31+E43+E37+E47+E54+E61+E67+E72+E75+E58+E77</f>
        <v>900335165.51999998</v>
      </c>
      <c r="F78" s="93">
        <f t="shared" si="13"/>
        <v>922464352.67999995</v>
      </c>
    </row>
  </sheetData>
  <mergeCells count="5">
    <mergeCell ref="D8:F8"/>
    <mergeCell ref="A8:A9"/>
    <mergeCell ref="B8:B9"/>
    <mergeCell ref="C8:C9"/>
    <mergeCell ref="A6:F6"/>
  </mergeCells>
  <phoneticPr fontId="0" type="noConversion"/>
  <pageMargins left="0.59055118110236227" right="0.19685039370078741" top="0.39370078740157483" bottom="0.39370078740157483" header="0.51181102362204722" footer="0.39370078740157483"/>
  <pageSetup paperSize="9" scale="69" fitToHeight="2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741"/>
  <sheetViews>
    <sheetView zoomScaleNormal="100" workbookViewId="0">
      <selection activeCell="A4" sqref="A4"/>
    </sheetView>
  </sheetViews>
  <sheetFormatPr defaultRowHeight="12.75"/>
  <cols>
    <col min="1" max="1" width="69.7109375" style="23" customWidth="1"/>
    <col min="2" max="2" width="6.140625" style="23" customWidth="1"/>
    <col min="3" max="3" width="5.140625" style="23" customWidth="1"/>
    <col min="4" max="4" width="5.28515625" style="23" customWidth="1"/>
    <col min="5" max="5" width="3.5703125" style="113" customWidth="1"/>
    <col min="6" max="7" width="3.5703125" style="23" customWidth="1"/>
    <col min="8" max="8" width="7" style="23" customWidth="1"/>
    <col min="9" max="9" width="6.28515625" style="23" customWidth="1"/>
    <col min="10" max="10" width="20" style="88" customWidth="1"/>
    <col min="11" max="11" width="19.5703125" customWidth="1"/>
    <col min="12" max="12" width="20.85546875" customWidth="1"/>
  </cols>
  <sheetData>
    <row r="1" spans="1:12">
      <c r="L1" s="65" t="s">
        <v>273</v>
      </c>
    </row>
    <row r="2" spans="1:12">
      <c r="L2" s="62" t="s">
        <v>43</v>
      </c>
    </row>
    <row r="3" spans="1:12">
      <c r="L3" s="62" t="s">
        <v>401</v>
      </c>
    </row>
    <row r="4" spans="1:12">
      <c r="L4" s="65" t="s">
        <v>413</v>
      </c>
    </row>
    <row r="5" spans="1:12">
      <c r="J5" s="124"/>
    </row>
    <row r="6" spans="1:12" ht="16.5" customHeight="1">
      <c r="A6" s="240" t="s">
        <v>392</v>
      </c>
      <c r="B6" s="240"/>
      <c r="C6" s="240"/>
      <c r="D6" s="240"/>
      <c r="E6" s="240"/>
      <c r="F6" s="240"/>
      <c r="G6" s="240"/>
      <c r="H6" s="240"/>
      <c r="I6" s="240"/>
      <c r="J6" s="240"/>
      <c r="K6" s="239"/>
      <c r="L6" s="239"/>
    </row>
    <row r="7" spans="1:12">
      <c r="L7" s="129"/>
    </row>
    <row r="8" spans="1:12" ht="55.5" customHeight="1">
      <c r="A8" s="232" t="s">
        <v>10</v>
      </c>
      <c r="B8" s="244" t="s">
        <v>40</v>
      </c>
      <c r="C8" s="234" t="s">
        <v>11</v>
      </c>
      <c r="D8" s="234" t="s">
        <v>12</v>
      </c>
      <c r="E8" s="245" t="s">
        <v>9</v>
      </c>
      <c r="F8" s="246"/>
      <c r="G8" s="246"/>
      <c r="H8" s="247"/>
      <c r="I8" s="236" t="s">
        <v>48</v>
      </c>
      <c r="J8" s="230" t="s">
        <v>398</v>
      </c>
      <c r="K8" s="231"/>
      <c r="L8" s="231"/>
    </row>
    <row r="9" spans="1:12" ht="15.75">
      <c r="A9" s="233"/>
      <c r="B9" s="235"/>
      <c r="C9" s="235"/>
      <c r="D9" s="235"/>
      <c r="E9" s="248"/>
      <c r="F9" s="249"/>
      <c r="G9" s="249"/>
      <c r="H9" s="250"/>
      <c r="I9" s="237"/>
      <c r="J9" s="185" t="s">
        <v>276</v>
      </c>
      <c r="K9" s="185" t="s">
        <v>277</v>
      </c>
      <c r="L9" s="185" t="s">
        <v>278</v>
      </c>
    </row>
    <row r="10" spans="1:12">
      <c r="A10" s="8">
        <v>1</v>
      </c>
      <c r="B10" s="24">
        <v>2</v>
      </c>
      <c r="C10" s="24">
        <v>3</v>
      </c>
      <c r="D10" s="24">
        <v>4</v>
      </c>
      <c r="E10" s="241">
        <v>5</v>
      </c>
      <c r="F10" s="242"/>
      <c r="G10" s="242"/>
      <c r="H10" s="243"/>
      <c r="I10" s="85" t="s">
        <v>67</v>
      </c>
      <c r="J10" s="184" t="s">
        <v>38</v>
      </c>
      <c r="K10" s="186">
        <v>8</v>
      </c>
      <c r="L10" s="186">
        <v>9</v>
      </c>
    </row>
    <row r="11" spans="1:12">
      <c r="A11" s="20"/>
      <c r="B11" s="40"/>
      <c r="C11" s="21"/>
      <c r="D11" s="21"/>
      <c r="E11" s="111"/>
      <c r="F11" s="21"/>
      <c r="G11" s="21"/>
      <c r="H11" s="21"/>
      <c r="I11" s="21"/>
      <c r="J11" s="90"/>
      <c r="K11" s="90"/>
      <c r="L11" s="90"/>
    </row>
    <row r="12" spans="1:12" ht="38.25">
      <c r="A12" s="51" t="s">
        <v>406</v>
      </c>
      <c r="B12" s="48" t="s">
        <v>42</v>
      </c>
      <c r="C12" s="46"/>
      <c r="D12" s="46"/>
      <c r="E12" s="46"/>
      <c r="F12" s="46"/>
      <c r="G12" s="46"/>
      <c r="H12" s="46"/>
      <c r="I12" s="45"/>
      <c r="J12" s="114">
        <f>J13+J28+J51+J120+J113</f>
        <v>135740340.83000001</v>
      </c>
      <c r="K12" s="114">
        <f>K13+K28+K51+K120+K113</f>
        <v>136248036.34999999</v>
      </c>
      <c r="L12" s="114">
        <f>L13+L28+L51+L120+L113</f>
        <v>135236917.69999999</v>
      </c>
    </row>
    <row r="13" spans="1:12" ht="15" customHeight="1">
      <c r="A13" s="26" t="s">
        <v>32</v>
      </c>
      <c r="B13" s="31" t="s">
        <v>42</v>
      </c>
      <c r="C13" s="31" t="s">
        <v>20</v>
      </c>
      <c r="D13" s="32"/>
      <c r="E13" s="32"/>
      <c r="F13" s="32"/>
      <c r="G13" s="32"/>
      <c r="H13" s="32"/>
      <c r="I13" s="33"/>
      <c r="J13" s="115">
        <f>+J14</f>
        <v>2185586.02</v>
      </c>
      <c r="K13" s="115">
        <f t="shared" ref="K13:L13" si="0">+K14</f>
        <v>2077586.02</v>
      </c>
      <c r="L13" s="115">
        <f t="shared" si="0"/>
        <v>1258350.33</v>
      </c>
    </row>
    <row r="14" spans="1:12">
      <c r="A14" s="4" t="s">
        <v>1</v>
      </c>
      <c r="B14" s="14" t="s">
        <v>42</v>
      </c>
      <c r="C14" s="15" t="s">
        <v>20</v>
      </c>
      <c r="D14" s="15" t="s">
        <v>49</v>
      </c>
      <c r="E14" s="15"/>
      <c r="F14" s="15"/>
      <c r="G14" s="15"/>
      <c r="H14" s="1"/>
      <c r="I14" s="13"/>
      <c r="J14" s="116">
        <f>+J15+J19+J23</f>
        <v>2185586.02</v>
      </c>
      <c r="K14" s="116">
        <f t="shared" ref="K14:L14" si="1">+K15+K19+K23</f>
        <v>2077586.02</v>
      </c>
      <c r="L14" s="116">
        <f t="shared" si="1"/>
        <v>1258350.33</v>
      </c>
    </row>
    <row r="15" spans="1:12" ht="25.5">
      <c r="A15" s="166" t="s">
        <v>281</v>
      </c>
      <c r="B15" s="69" t="s">
        <v>42</v>
      </c>
      <c r="C15" s="1" t="s">
        <v>20</v>
      </c>
      <c r="D15" s="1" t="s">
        <v>49</v>
      </c>
      <c r="E15" s="1" t="s">
        <v>16</v>
      </c>
      <c r="F15" s="1" t="s">
        <v>70</v>
      </c>
      <c r="G15" s="1" t="s">
        <v>148</v>
      </c>
      <c r="H15" s="1" t="s">
        <v>149</v>
      </c>
      <c r="I15" s="13"/>
      <c r="J15" s="120">
        <f>J16</f>
        <v>50000</v>
      </c>
      <c r="K15" s="120">
        <f t="shared" ref="K15:L15" si="2">K16</f>
        <v>50000</v>
      </c>
      <c r="L15" s="120">
        <f t="shared" si="2"/>
        <v>50000</v>
      </c>
    </row>
    <row r="16" spans="1:12">
      <c r="A16" s="131" t="s">
        <v>315</v>
      </c>
      <c r="B16" s="69" t="s">
        <v>42</v>
      </c>
      <c r="C16" s="1" t="s">
        <v>20</v>
      </c>
      <c r="D16" s="1" t="s">
        <v>49</v>
      </c>
      <c r="E16" s="1" t="s">
        <v>16</v>
      </c>
      <c r="F16" s="148" t="s">
        <v>70</v>
      </c>
      <c r="G16" s="1" t="s">
        <v>148</v>
      </c>
      <c r="H16" s="1" t="s">
        <v>190</v>
      </c>
      <c r="I16" s="13"/>
      <c r="J16" s="120">
        <f t="shared" ref="J16:L17" si="3">J17</f>
        <v>50000</v>
      </c>
      <c r="K16" s="120">
        <f t="shared" si="3"/>
        <v>50000</v>
      </c>
      <c r="L16" s="120">
        <f t="shared" si="3"/>
        <v>50000</v>
      </c>
    </row>
    <row r="17" spans="1:12" ht="25.5">
      <c r="A17" s="83" t="s">
        <v>260</v>
      </c>
      <c r="B17" s="69" t="s">
        <v>42</v>
      </c>
      <c r="C17" s="1" t="s">
        <v>20</v>
      </c>
      <c r="D17" s="1" t="s">
        <v>49</v>
      </c>
      <c r="E17" s="1" t="s">
        <v>16</v>
      </c>
      <c r="F17" s="148" t="s">
        <v>70</v>
      </c>
      <c r="G17" s="1" t="s">
        <v>148</v>
      </c>
      <c r="H17" s="1" t="s">
        <v>190</v>
      </c>
      <c r="I17" s="13" t="s">
        <v>94</v>
      </c>
      <c r="J17" s="120">
        <f t="shared" si="3"/>
        <v>50000</v>
      </c>
      <c r="K17" s="120">
        <f t="shared" si="3"/>
        <v>50000</v>
      </c>
      <c r="L17" s="120">
        <f t="shared" si="3"/>
        <v>50000</v>
      </c>
    </row>
    <row r="18" spans="1:12" ht="25.5">
      <c r="A18" s="81" t="s">
        <v>98</v>
      </c>
      <c r="B18" s="69" t="s">
        <v>42</v>
      </c>
      <c r="C18" s="1" t="s">
        <v>20</v>
      </c>
      <c r="D18" s="1" t="s">
        <v>49</v>
      </c>
      <c r="E18" s="1" t="s">
        <v>16</v>
      </c>
      <c r="F18" s="148" t="s">
        <v>70</v>
      </c>
      <c r="G18" s="1" t="s">
        <v>148</v>
      </c>
      <c r="H18" s="1" t="s">
        <v>190</v>
      </c>
      <c r="I18" s="13" t="s">
        <v>95</v>
      </c>
      <c r="J18" s="120">
        <v>50000</v>
      </c>
      <c r="K18" s="120">
        <v>50000</v>
      </c>
      <c r="L18" s="120">
        <v>50000</v>
      </c>
    </row>
    <row r="19" spans="1:12" s="147" customFormat="1" ht="38.25">
      <c r="A19" s="149" t="s">
        <v>310</v>
      </c>
      <c r="B19" s="69" t="s">
        <v>42</v>
      </c>
      <c r="C19" s="151" t="s">
        <v>20</v>
      </c>
      <c r="D19" s="148" t="s">
        <v>49</v>
      </c>
      <c r="E19" s="148" t="s">
        <v>30</v>
      </c>
      <c r="F19" s="148" t="s">
        <v>70</v>
      </c>
      <c r="G19" s="148" t="s">
        <v>148</v>
      </c>
      <c r="H19" s="148" t="s">
        <v>149</v>
      </c>
      <c r="I19" s="146"/>
      <c r="J19" s="161">
        <f>J20</f>
        <v>2035586.02</v>
      </c>
      <c r="K19" s="161">
        <f t="shared" ref="J19:L21" si="4">K20</f>
        <v>1927586.02</v>
      </c>
      <c r="L19" s="161">
        <f t="shared" si="4"/>
        <v>1108350.33</v>
      </c>
    </row>
    <row r="20" spans="1:12" s="147" customFormat="1" ht="25.5">
      <c r="A20" s="149" t="s">
        <v>308</v>
      </c>
      <c r="B20" s="69" t="s">
        <v>42</v>
      </c>
      <c r="C20" s="151" t="s">
        <v>20</v>
      </c>
      <c r="D20" s="148" t="s">
        <v>49</v>
      </c>
      <c r="E20" s="148" t="s">
        <v>30</v>
      </c>
      <c r="F20" s="148" t="s">
        <v>70</v>
      </c>
      <c r="G20" s="148" t="s">
        <v>148</v>
      </c>
      <c r="H20" s="148" t="s">
        <v>309</v>
      </c>
      <c r="I20" s="146"/>
      <c r="J20" s="159">
        <f t="shared" si="4"/>
        <v>2035586.02</v>
      </c>
      <c r="K20" s="159">
        <f t="shared" si="4"/>
        <v>1927586.02</v>
      </c>
      <c r="L20" s="159">
        <f t="shared" si="4"/>
        <v>1108350.33</v>
      </c>
    </row>
    <row r="21" spans="1:12" s="147" customFormat="1" ht="25.5">
      <c r="A21" s="157" t="s">
        <v>260</v>
      </c>
      <c r="B21" s="69" t="s">
        <v>42</v>
      </c>
      <c r="C21" s="151" t="s">
        <v>20</v>
      </c>
      <c r="D21" s="148" t="s">
        <v>49</v>
      </c>
      <c r="E21" s="148" t="s">
        <v>30</v>
      </c>
      <c r="F21" s="148" t="s">
        <v>70</v>
      </c>
      <c r="G21" s="148" t="s">
        <v>148</v>
      </c>
      <c r="H21" s="148" t="s">
        <v>309</v>
      </c>
      <c r="I21" s="146" t="s">
        <v>94</v>
      </c>
      <c r="J21" s="159">
        <f t="shared" si="4"/>
        <v>2035586.02</v>
      </c>
      <c r="K21" s="159">
        <f t="shared" si="4"/>
        <v>1927586.02</v>
      </c>
      <c r="L21" s="159">
        <f t="shared" si="4"/>
        <v>1108350.33</v>
      </c>
    </row>
    <row r="22" spans="1:12" s="147" customFormat="1" ht="25.5">
      <c r="A22" s="156" t="s">
        <v>98</v>
      </c>
      <c r="B22" s="69" t="s">
        <v>42</v>
      </c>
      <c r="C22" s="151" t="s">
        <v>20</v>
      </c>
      <c r="D22" s="148" t="s">
        <v>49</v>
      </c>
      <c r="E22" s="148" t="s">
        <v>30</v>
      </c>
      <c r="F22" s="148" t="s">
        <v>70</v>
      </c>
      <c r="G22" s="148" t="s">
        <v>148</v>
      </c>
      <c r="H22" s="148" t="s">
        <v>309</v>
      </c>
      <c r="I22" s="146" t="s">
        <v>95</v>
      </c>
      <c r="J22" s="159">
        <f>1515586.02+520000</f>
        <v>2035586.02</v>
      </c>
      <c r="K22" s="159">
        <f>1515586.02+412000</f>
        <v>1927586.02</v>
      </c>
      <c r="L22" s="161">
        <f>696350.33+412000</f>
        <v>1108350.33</v>
      </c>
    </row>
    <row r="23" spans="1:12" s="147" customFormat="1" ht="38.25">
      <c r="A23" s="156" t="s">
        <v>318</v>
      </c>
      <c r="B23" s="69" t="s">
        <v>42</v>
      </c>
      <c r="C23" s="151" t="s">
        <v>20</v>
      </c>
      <c r="D23" s="148" t="s">
        <v>49</v>
      </c>
      <c r="E23" s="148" t="s">
        <v>316</v>
      </c>
      <c r="F23" s="148" t="s">
        <v>70</v>
      </c>
      <c r="G23" s="148" t="s">
        <v>148</v>
      </c>
      <c r="H23" s="148" t="s">
        <v>149</v>
      </c>
      <c r="I23" s="146"/>
      <c r="J23" s="159">
        <f>J24</f>
        <v>100000</v>
      </c>
      <c r="K23" s="159">
        <f t="shared" ref="K23:L25" si="5">K24</f>
        <v>100000</v>
      </c>
      <c r="L23" s="159">
        <f t="shared" si="5"/>
        <v>100000</v>
      </c>
    </row>
    <row r="24" spans="1:12" s="147" customFormat="1" ht="25.5">
      <c r="A24" s="156" t="s">
        <v>368</v>
      </c>
      <c r="B24" s="69" t="s">
        <v>42</v>
      </c>
      <c r="C24" s="151" t="s">
        <v>20</v>
      </c>
      <c r="D24" s="148" t="s">
        <v>49</v>
      </c>
      <c r="E24" s="148" t="s">
        <v>316</v>
      </c>
      <c r="F24" s="148" t="s">
        <v>70</v>
      </c>
      <c r="G24" s="148" t="s">
        <v>148</v>
      </c>
      <c r="H24" s="148" t="s">
        <v>317</v>
      </c>
      <c r="I24" s="146"/>
      <c r="J24" s="159">
        <f>J25</f>
        <v>100000</v>
      </c>
      <c r="K24" s="159">
        <f t="shared" si="5"/>
        <v>100000</v>
      </c>
      <c r="L24" s="159">
        <f t="shared" si="5"/>
        <v>100000</v>
      </c>
    </row>
    <row r="25" spans="1:12" s="147" customFormat="1" ht="25.5">
      <c r="A25" s="157" t="s">
        <v>260</v>
      </c>
      <c r="B25" s="69" t="s">
        <v>42</v>
      </c>
      <c r="C25" s="151" t="s">
        <v>20</v>
      </c>
      <c r="D25" s="148" t="s">
        <v>49</v>
      </c>
      <c r="E25" s="148" t="s">
        <v>316</v>
      </c>
      <c r="F25" s="148" t="s">
        <v>70</v>
      </c>
      <c r="G25" s="148" t="s">
        <v>148</v>
      </c>
      <c r="H25" s="148" t="s">
        <v>317</v>
      </c>
      <c r="I25" s="146" t="s">
        <v>94</v>
      </c>
      <c r="J25" s="159">
        <f>J26</f>
        <v>100000</v>
      </c>
      <c r="K25" s="159">
        <f t="shared" si="5"/>
        <v>100000</v>
      </c>
      <c r="L25" s="159">
        <f t="shared" si="5"/>
        <v>100000</v>
      </c>
    </row>
    <row r="26" spans="1:12" s="147" customFormat="1" ht="25.5">
      <c r="A26" s="156" t="s">
        <v>98</v>
      </c>
      <c r="B26" s="69" t="s">
        <v>42</v>
      </c>
      <c r="C26" s="151" t="s">
        <v>20</v>
      </c>
      <c r="D26" s="148" t="s">
        <v>49</v>
      </c>
      <c r="E26" s="148" t="s">
        <v>316</v>
      </c>
      <c r="F26" s="148" t="s">
        <v>70</v>
      </c>
      <c r="G26" s="148" t="s">
        <v>148</v>
      </c>
      <c r="H26" s="148" t="s">
        <v>317</v>
      </c>
      <c r="I26" s="146" t="s">
        <v>95</v>
      </c>
      <c r="J26" s="159">
        <v>100000</v>
      </c>
      <c r="K26" s="159">
        <v>100000</v>
      </c>
      <c r="L26" s="161">
        <v>100000</v>
      </c>
    </row>
    <row r="27" spans="1:12" s="147" customFormat="1">
      <c r="A27" s="156"/>
      <c r="B27" s="69"/>
      <c r="C27" s="151"/>
      <c r="D27" s="148"/>
      <c r="E27" s="148"/>
      <c r="F27" s="148"/>
      <c r="G27" s="148"/>
      <c r="H27" s="148"/>
      <c r="I27" s="146"/>
      <c r="J27" s="159"/>
      <c r="K27" s="159"/>
      <c r="L27" s="161"/>
    </row>
    <row r="28" spans="1:12" ht="15.75">
      <c r="A28" s="26" t="s">
        <v>24</v>
      </c>
      <c r="B28" s="31" t="s">
        <v>42</v>
      </c>
      <c r="C28" s="31" t="s">
        <v>2</v>
      </c>
      <c r="D28" s="32"/>
      <c r="E28" s="32"/>
      <c r="F28" s="32"/>
      <c r="G28" s="32"/>
      <c r="H28" s="32"/>
      <c r="I28" s="33"/>
      <c r="J28" s="115">
        <f>J29+J45</f>
        <v>17889682</v>
      </c>
      <c r="K28" s="115">
        <f t="shared" ref="K28:L28" si="6">K29+K45</f>
        <v>18154242.760000002</v>
      </c>
      <c r="L28" s="115">
        <f t="shared" si="6"/>
        <v>17937946.07</v>
      </c>
    </row>
    <row r="29" spans="1:12" ht="19.5" customHeight="1">
      <c r="A29" s="4" t="s">
        <v>203</v>
      </c>
      <c r="B29" s="14" t="s">
        <v>42</v>
      </c>
      <c r="C29" s="15" t="s">
        <v>2</v>
      </c>
      <c r="D29" s="15" t="s">
        <v>13</v>
      </c>
      <c r="E29" s="15"/>
      <c r="F29" s="15"/>
      <c r="G29" s="15"/>
      <c r="H29" s="1"/>
      <c r="I29" s="13"/>
      <c r="J29" s="116">
        <f>J30</f>
        <v>17707682</v>
      </c>
      <c r="K29" s="116">
        <f t="shared" ref="K29:L30" si="7">K30</f>
        <v>17972242.760000002</v>
      </c>
      <c r="L29" s="116">
        <f t="shared" si="7"/>
        <v>17755946.07</v>
      </c>
    </row>
    <row r="30" spans="1:12" ht="27.75" customHeight="1">
      <c r="A30" s="149" t="s">
        <v>282</v>
      </c>
      <c r="B30" s="69" t="s">
        <v>42</v>
      </c>
      <c r="C30" s="1" t="s">
        <v>2</v>
      </c>
      <c r="D30" s="1" t="s">
        <v>13</v>
      </c>
      <c r="E30" s="1" t="s">
        <v>17</v>
      </c>
      <c r="F30" s="1" t="s">
        <v>70</v>
      </c>
      <c r="G30" s="1" t="s">
        <v>148</v>
      </c>
      <c r="H30" s="1" t="s">
        <v>149</v>
      </c>
      <c r="I30" s="13"/>
      <c r="J30" s="120">
        <f>J31</f>
        <v>17707682</v>
      </c>
      <c r="K30" s="120">
        <f t="shared" si="7"/>
        <v>17972242.760000002</v>
      </c>
      <c r="L30" s="120">
        <f t="shared" si="7"/>
        <v>17755946.07</v>
      </c>
    </row>
    <row r="31" spans="1:12" ht="25.5">
      <c r="A31" s="2" t="s">
        <v>131</v>
      </c>
      <c r="B31" s="69" t="s">
        <v>42</v>
      </c>
      <c r="C31" s="1" t="s">
        <v>2</v>
      </c>
      <c r="D31" s="1" t="s">
        <v>13</v>
      </c>
      <c r="E31" s="1" t="s">
        <v>17</v>
      </c>
      <c r="F31" s="1" t="s">
        <v>113</v>
      </c>
      <c r="G31" s="1" t="s">
        <v>148</v>
      </c>
      <c r="H31" s="1" t="s">
        <v>149</v>
      </c>
      <c r="I31" s="13"/>
      <c r="J31" s="120">
        <f>J32+J35+J38+J41</f>
        <v>17707682</v>
      </c>
      <c r="K31" s="120">
        <f t="shared" ref="K31:L31" si="8">K32+K35+K38+K41</f>
        <v>17972242.760000002</v>
      </c>
      <c r="L31" s="120">
        <f t="shared" si="8"/>
        <v>17755946.07</v>
      </c>
    </row>
    <row r="32" spans="1:12" ht="25.5">
      <c r="A32" s="149" t="s">
        <v>377</v>
      </c>
      <c r="B32" s="69" t="s">
        <v>42</v>
      </c>
      <c r="C32" s="1" t="s">
        <v>2</v>
      </c>
      <c r="D32" s="1" t="s">
        <v>13</v>
      </c>
      <c r="E32" s="1" t="s">
        <v>17</v>
      </c>
      <c r="F32" s="1" t="s">
        <v>113</v>
      </c>
      <c r="G32" s="1" t="s">
        <v>148</v>
      </c>
      <c r="H32" s="1" t="s">
        <v>226</v>
      </c>
      <c r="I32" s="13"/>
      <c r="J32" s="120">
        <f>J33</f>
        <v>500000</v>
      </c>
      <c r="K32" s="120">
        <f t="shared" ref="K32:L33" si="9">K33</f>
        <v>500000</v>
      </c>
      <c r="L32" s="120">
        <f t="shared" si="9"/>
        <v>0</v>
      </c>
    </row>
    <row r="33" spans="1:12" ht="25.5">
      <c r="A33" s="7" t="s">
        <v>72</v>
      </c>
      <c r="B33" s="69" t="s">
        <v>42</v>
      </c>
      <c r="C33" s="1" t="s">
        <v>2</v>
      </c>
      <c r="D33" s="1" t="s">
        <v>13</v>
      </c>
      <c r="E33" s="1" t="s">
        <v>17</v>
      </c>
      <c r="F33" s="1" t="s">
        <v>113</v>
      </c>
      <c r="G33" s="1" t="s">
        <v>148</v>
      </c>
      <c r="H33" s="148" t="s">
        <v>226</v>
      </c>
      <c r="I33" s="13" t="s">
        <v>71</v>
      </c>
      <c r="J33" s="120">
        <f>J34</f>
        <v>500000</v>
      </c>
      <c r="K33" s="120">
        <f t="shared" si="9"/>
        <v>500000</v>
      </c>
      <c r="L33" s="120">
        <f t="shared" si="9"/>
        <v>0</v>
      </c>
    </row>
    <row r="34" spans="1:12">
      <c r="A34" s="11" t="s">
        <v>75</v>
      </c>
      <c r="B34" s="69" t="s">
        <v>42</v>
      </c>
      <c r="C34" s="1" t="s">
        <v>2</v>
      </c>
      <c r="D34" s="1" t="s">
        <v>13</v>
      </c>
      <c r="E34" s="1" t="s">
        <v>17</v>
      </c>
      <c r="F34" s="1" t="s">
        <v>113</v>
      </c>
      <c r="G34" s="1" t="s">
        <v>148</v>
      </c>
      <c r="H34" s="148" t="s">
        <v>226</v>
      </c>
      <c r="I34" s="13" t="s">
        <v>74</v>
      </c>
      <c r="J34" s="120">
        <v>500000</v>
      </c>
      <c r="K34" s="120">
        <v>500000</v>
      </c>
      <c r="L34" s="120"/>
    </row>
    <row r="35" spans="1:12">
      <c r="A35" s="2" t="s">
        <v>132</v>
      </c>
      <c r="B35" s="69" t="s">
        <v>42</v>
      </c>
      <c r="C35" s="1" t="s">
        <v>2</v>
      </c>
      <c r="D35" s="1" t="s">
        <v>13</v>
      </c>
      <c r="E35" s="1" t="s">
        <v>17</v>
      </c>
      <c r="F35" s="1" t="s">
        <v>113</v>
      </c>
      <c r="G35" s="1" t="s">
        <v>148</v>
      </c>
      <c r="H35" s="1" t="s">
        <v>150</v>
      </c>
      <c r="I35" s="13"/>
      <c r="J35" s="120">
        <f>J36</f>
        <v>57000</v>
      </c>
      <c r="K35" s="120">
        <f t="shared" ref="K35:L36" si="10">K36</f>
        <v>57000</v>
      </c>
      <c r="L35" s="120">
        <f t="shared" si="10"/>
        <v>57000</v>
      </c>
    </row>
    <row r="36" spans="1:12" ht="25.5">
      <c r="A36" s="7" t="s">
        <v>72</v>
      </c>
      <c r="B36" s="69" t="s">
        <v>42</v>
      </c>
      <c r="C36" s="1" t="s">
        <v>2</v>
      </c>
      <c r="D36" s="1" t="s">
        <v>13</v>
      </c>
      <c r="E36" s="1" t="s">
        <v>17</v>
      </c>
      <c r="F36" s="1" t="s">
        <v>113</v>
      </c>
      <c r="G36" s="1" t="s">
        <v>148</v>
      </c>
      <c r="H36" s="1" t="s">
        <v>150</v>
      </c>
      <c r="I36" s="13" t="s">
        <v>71</v>
      </c>
      <c r="J36" s="120">
        <f>J37</f>
        <v>57000</v>
      </c>
      <c r="K36" s="120">
        <f t="shared" si="10"/>
        <v>57000</v>
      </c>
      <c r="L36" s="120">
        <f t="shared" si="10"/>
        <v>57000</v>
      </c>
    </row>
    <row r="37" spans="1:12">
      <c r="A37" s="11" t="s">
        <v>75</v>
      </c>
      <c r="B37" s="69" t="s">
        <v>42</v>
      </c>
      <c r="C37" s="1" t="s">
        <v>2</v>
      </c>
      <c r="D37" s="1" t="s">
        <v>13</v>
      </c>
      <c r="E37" s="1" t="s">
        <v>17</v>
      </c>
      <c r="F37" s="1" t="s">
        <v>113</v>
      </c>
      <c r="G37" s="1" t="s">
        <v>148</v>
      </c>
      <c r="H37" s="1" t="s">
        <v>150</v>
      </c>
      <c r="I37" s="13" t="s">
        <v>74</v>
      </c>
      <c r="J37" s="120">
        <v>57000</v>
      </c>
      <c r="K37" s="120">
        <v>57000</v>
      </c>
      <c r="L37" s="120">
        <v>57000</v>
      </c>
    </row>
    <row r="38" spans="1:12">
      <c r="A38" s="2" t="s">
        <v>133</v>
      </c>
      <c r="B38" s="69" t="s">
        <v>42</v>
      </c>
      <c r="C38" s="1" t="s">
        <v>2</v>
      </c>
      <c r="D38" s="1" t="s">
        <v>13</v>
      </c>
      <c r="E38" s="1" t="s">
        <v>17</v>
      </c>
      <c r="F38" s="1" t="s">
        <v>113</v>
      </c>
      <c r="G38" s="1" t="s">
        <v>148</v>
      </c>
      <c r="H38" s="1" t="s">
        <v>151</v>
      </c>
      <c r="I38" s="13"/>
      <c r="J38" s="120">
        <f>J39</f>
        <v>17010682</v>
      </c>
      <c r="K38" s="120">
        <f t="shared" ref="K38:L39" si="11">K39</f>
        <v>17269642.760000002</v>
      </c>
      <c r="L38" s="120">
        <f t="shared" si="11"/>
        <v>17534418.07</v>
      </c>
    </row>
    <row r="39" spans="1:12" ht="25.5">
      <c r="A39" s="7" t="s">
        <v>72</v>
      </c>
      <c r="B39" s="69" t="s">
        <v>42</v>
      </c>
      <c r="C39" s="1" t="s">
        <v>2</v>
      </c>
      <c r="D39" s="1" t="s">
        <v>13</v>
      </c>
      <c r="E39" s="1" t="s">
        <v>17</v>
      </c>
      <c r="F39" s="1" t="s">
        <v>113</v>
      </c>
      <c r="G39" s="1" t="s">
        <v>148</v>
      </c>
      <c r="H39" s="1" t="s">
        <v>151</v>
      </c>
      <c r="I39" s="13" t="s">
        <v>71</v>
      </c>
      <c r="J39" s="120">
        <f>J40</f>
        <v>17010682</v>
      </c>
      <c r="K39" s="120">
        <f t="shared" si="11"/>
        <v>17269642.760000002</v>
      </c>
      <c r="L39" s="120">
        <f t="shared" si="11"/>
        <v>17534418.07</v>
      </c>
    </row>
    <row r="40" spans="1:12">
      <c r="A40" s="11" t="s">
        <v>75</v>
      </c>
      <c r="B40" s="69" t="s">
        <v>42</v>
      </c>
      <c r="C40" s="1" t="s">
        <v>2</v>
      </c>
      <c r="D40" s="1" t="s">
        <v>13</v>
      </c>
      <c r="E40" s="1" t="s">
        <v>17</v>
      </c>
      <c r="F40" s="1" t="s">
        <v>113</v>
      </c>
      <c r="G40" s="1" t="s">
        <v>148</v>
      </c>
      <c r="H40" s="1" t="s">
        <v>151</v>
      </c>
      <c r="I40" s="13" t="s">
        <v>74</v>
      </c>
      <c r="J40" s="120">
        <f>16810682+200000</f>
        <v>17010682</v>
      </c>
      <c r="K40" s="120">
        <f>17069642.76+200000</f>
        <v>17269642.760000002</v>
      </c>
      <c r="L40" s="120">
        <f>17334418.07+200000</f>
        <v>17534418.07</v>
      </c>
    </row>
    <row r="41" spans="1:12" ht="63.75">
      <c r="A41" s="152" t="s">
        <v>313</v>
      </c>
      <c r="B41" s="69" t="s">
        <v>42</v>
      </c>
      <c r="C41" s="1" t="s">
        <v>2</v>
      </c>
      <c r="D41" s="1" t="s">
        <v>13</v>
      </c>
      <c r="E41" s="1" t="s">
        <v>17</v>
      </c>
      <c r="F41" s="1" t="s">
        <v>113</v>
      </c>
      <c r="G41" s="1" t="s">
        <v>148</v>
      </c>
      <c r="H41" s="1" t="s">
        <v>206</v>
      </c>
      <c r="I41" s="13"/>
      <c r="J41" s="120">
        <f>J42</f>
        <v>140000</v>
      </c>
      <c r="K41" s="120">
        <f t="shared" ref="K41:L42" si="12">K42</f>
        <v>145600</v>
      </c>
      <c r="L41" s="120">
        <f t="shared" si="12"/>
        <v>164528</v>
      </c>
    </row>
    <row r="42" spans="1:12" ht="25.5">
      <c r="A42" s="7" t="s">
        <v>72</v>
      </c>
      <c r="B42" s="69" t="s">
        <v>42</v>
      </c>
      <c r="C42" s="1" t="s">
        <v>2</v>
      </c>
      <c r="D42" s="1" t="s">
        <v>13</v>
      </c>
      <c r="E42" s="1" t="s">
        <v>17</v>
      </c>
      <c r="F42" s="1" t="s">
        <v>113</v>
      </c>
      <c r="G42" s="1" t="s">
        <v>148</v>
      </c>
      <c r="H42" s="1" t="s">
        <v>206</v>
      </c>
      <c r="I42" s="13" t="s">
        <v>71</v>
      </c>
      <c r="J42" s="120">
        <f>J43</f>
        <v>140000</v>
      </c>
      <c r="K42" s="120">
        <f t="shared" si="12"/>
        <v>145600</v>
      </c>
      <c r="L42" s="120">
        <f t="shared" si="12"/>
        <v>164528</v>
      </c>
    </row>
    <row r="43" spans="1:12">
      <c r="A43" s="11" t="s">
        <v>75</v>
      </c>
      <c r="B43" s="69" t="s">
        <v>42</v>
      </c>
      <c r="C43" s="1" t="s">
        <v>2</v>
      </c>
      <c r="D43" s="1" t="s">
        <v>13</v>
      </c>
      <c r="E43" s="1" t="s">
        <v>17</v>
      </c>
      <c r="F43" s="1" t="s">
        <v>113</v>
      </c>
      <c r="G43" s="1" t="s">
        <v>148</v>
      </c>
      <c r="H43" s="1" t="s">
        <v>206</v>
      </c>
      <c r="I43" s="13" t="s">
        <v>74</v>
      </c>
      <c r="J43" s="120">
        <v>140000</v>
      </c>
      <c r="K43" s="120">
        <v>145600</v>
      </c>
      <c r="L43" s="120">
        <v>164528</v>
      </c>
    </row>
    <row r="44" spans="1:12">
      <c r="A44" s="11"/>
      <c r="B44" s="69"/>
      <c r="C44" s="1"/>
      <c r="D44" s="1"/>
      <c r="E44" s="1"/>
      <c r="F44" s="1"/>
      <c r="G44" s="1"/>
      <c r="H44" s="1"/>
      <c r="I44" s="13"/>
      <c r="J44" s="120"/>
      <c r="K44" s="120"/>
      <c r="L44" s="120"/>
    </row>
    <row r="45" spans="1:12" ht="15.75" customHeight="1">
      <c r="A45" s="4" t="s">
        <v>199</v>
      </c>
      <c r="B45" s="14" t="s">
        <v>42</v>
      </c>
      <c r="C45" s="14" t="s">
        <v>2</v>
      </c>
      <c r="D45" s="14" t="s">
        <v>2</v>
      </c>
      <c r="E45" s="14"/>
      <c r="F45" s="14"/>
      <c r="G45" s="14"/>
      <c r="H45" s="14"/>
      <c r="I45" s="13"/>
      <c r="J45" s="116">
        <f t="shared" ref="J45:L48" si="13">J46</f>
        <v>182000</v>
      </c>
      <c r="K45" s="116">
        <f t="shared" si="13"/>
        <v>182000</v>
      </c>
      <c r="L45" s="116">
        <f t="shared" si="13"/>
        <v>182000</v>
      </c>
    </row>
    <row r="46" spans="1:12" ht="25.5">
      <c r="A46" s="166" t="s">
        <v>283</v>
      </c>
      <c r="B46" s="1" t="s">
        <v>42</v>
      </c>
      <c r="C46" s="1" t="s">
        <v>2</v>
      </c>
      <c r="D46" s="1" t="s">
        <v>2</v>
      </c>
      <c r="E46" s="1" t="s">
        <v>85</v>
      </c>
      <c r="F46" s="1" t="s">
        <v>70</v>
      </c>
      <c r="G46" s="1" t="s">
        <v>148</v>
      </c>
      <c r="H46" s="1" t="s">
        <v>149</v>
      </c>
      <c r="I46" s="13"/>
      <c r="J46" s="87">
        <f>J47</f>
        <v>182000</v>
      </c>
      <c r="K46" s="159">
        <f t="shared" si="13"/>
        <v>182000</v>
      </c>
      <c r="L46" s="159">
        <f t="shared" si="13"/>
        <v>182000</v>
      </c>
    </row>
    <row r="47" spans="1:12">
      <c r="A47" s="2" t="s">
        <v>122</v>
      </c>
      <c r="B47" s="1" t="s">
        <v>42</v>
      </c>
      <c r="C47" s="1" t="s">
        <v>2</v>
      </c>
      <c r="D47" s="1" t="s">
        <v>2</v>
      </c>
      <c r="E47" s="1" t="s">
        <v>85</v>
      </c>
      <c r="F47" s="1" t="s">
        <v>70</v>
      </c>
      <c r="G47" s="1" t="s">
        <v>148</v>
      </c>
      <c r="H47" s="1" t="s">
        <v>152</v>
      </c>
      <c r="I47" s="13"/>
      <c r="J47" s="87">
        <f t="shared" si="13"/>
        <v>182000</v>
      </c>
      <c r="K47" s="159">
        <f t="shared" si="13"/>
        <v>182000</v>
      </c>
      <c r="L47" s="159">
        <f t="shared" si="13"/>
        <v>182000</v>
      </c>
    </row>
    <row r="48" spans="1:12" ht="25.5">
      <c r="A48" s="157" t="s">
        <v>260</v>
      </c>
      <c r="B48" s="1" t="s">
        <v>42</v>
      </c>
      <c r="C48" s="1" t="s">
        <v>2</v>
      </c>
      <c r="D48" s="1" t="s">
        <v>2</v>
      </c>
      <c r="E48" s="1" t="s">
        <v>85</v>
      </c>
      <c r="F48" s="1" t="s">
        <v>70</v>
      </c>
      <c r="G48" s="1" t="s">
        <v>148</v>
      </c>
      <c r="H48" s="1" t="s">
        <v>152</v>
      </c>
      <c r="I48" s="13" t="s">
        <v>94</v>
      </c>
      <c r="J48" s="87">
        <f t="shared" si="13"/>
        <v>182000</v>
      </c>
      <c r="K48" s="159">
        <f t="shared" si="13"/>
        <v>182000</v>
      </c>
      <c r="L48" s="159">
        <f t="shared" si="13"/>
        <v>182000</v>
      </c>
    </row>
    <row r="49" spans="1:12" ht="25.5">
      <c r="A49" s="81" t="s">
        <v>98</v>
      </c>
      <c r="B49" s="1" t="s">
        <v>42</v>
      </c>
      <c r="C49" s="1" t="s">
        <v>2</v>
      </c>
      <c r="D49" s="1" t="s">
        <v>2</v>
      </c>
      <c r="E49" s="1" t="s">
        <v>85</v>
      </c>
      <c r="F49" s="1" t="s">
        <v>70</v>
      </c>
      <c r="G49" s="1" t="s">
        <v>148</v>
      </c>
      <c r="H49" s="1" t="s">
        <v>152</v>
      </c>
      <c r="I49" s="13" t="s">
        <v>95</v>
      </c>
      <c r="J49" s="87">
        <v>182000</v>
      </c>
      <c r="K49" s="159">
        <v>182000</v>
      </c>
      <c r="L49" s="159">
        <v>182000</v>
      </c>
    </row>
    <row r="50" spans="1:12">
      <c r="A50" s="81"/>
      <c r="B50" s="50"/>
      <c r="C50" s="1"/>
      <c r="D50" s="1"/>
      <c r="E50" s="1"/>
      <c r="F50" s="1"/>
      <c r="G50" s="1"/>
      <c r="H50" s="1"/>
      <c r="I50" s="13"/>
      <c r="J50" s="87"/>
      <c r="K50" s="159"/>
      <c r="L50" s="159"/>
    </row>
    <row r="51" spans="1:12" ht="15.75">
      <c r="A51" s="26" t="s">
        <v>53</v>
      </c>
      <c r="B51" s="27" t="s">
        <v>42</v>
      </c>
      <c r="C51" s="31" t="s">
        <v>27</v>
      </c>
      <c r="D51" s="31"/>
      <c r="E51" s="31"/>
      <c r="F51" s="31"/>
      <c r="G51" s="31"/>
      <c r="H51" s="31"/>
      <c r="I51" s="34"/>
      <c r="J51" s="115">
        <f>J52+J103</f>
        <v>114655072.81</v>
      </c>
      <c r="K51" s="115">
        <f>K52+K103</f>
        <v>115006207.56999999</v>
      </c>
      <c r="L51" s="115">
        <f>L52+L103</f>
        <v>115030621.29999998</v>
      </c>
    </row>
    <row r="52" spans="1:12" s="23" customFormat="1">
      <c r="A52" s="4" t="s">
        <v>28</v>
      </c>
      <c r="B52" s="14" t="s">
        <v>42</v>
      </c>
      <c r="C52" s="15" t="s">
        <v>27</v>
      </c>
      <c r="D52" s="15" t="s">
        <v>20</v>
      </c>
      <c r="E52" s="15"/>
      <c r="F52" s="15"/>
      <c r="G52" s="15"/>
      <c r="H52" s="15"/>
      <c r="I52" s="28"/>
      <c r="J52" s="116">
        <f>J53</f>
        <v>101055368.81</v>
      </c>
      <c r="K52" s="116">
        <f t="shared" ref="K52:L52" si="14">K53</f>
        <v>101274216.44</v>
      </c>
      <c r="L52" s="116">
        <f t="shared" si="14"/>
        <v>101235020.25999999</v>
      </c>
    </row>
    <row r="53" spans="1:12" s="23" customFormat="1" ht="27" customHeight="1">
      <c r="A53" s="149" t="s">
        <v>282</v>
      </c>
      <c r="B53" s="10" t="s">
        <v>42</v>
      </c>
      <c r="C53" s="10" t="s">
        <v>27</v>
      </c>
      <c r="D53" s="10" t="s">
        <v>20</v>
      </c>
      <c r="E53" s="69" t="s">
        <v>17</v>
      </c>
      <c r="F53" s="10" t="s">
        <v>70</v>
      </c>
      <c r="G53" s="10" t="s">
        <v>148</v>
      </c>
      <c r="H53" s="10" t="s">
        <v>149</v>
      </c>
      <c r="I53" s="17"/>
      <c r="J53" s="117">
        <f>J54+J73+J95</f>
        <v>101055368.81</v>
      </c>
      <c r="K53" s="161">
        <f>K54+K73+K95</f>
        <v>101274216.44</v>
      </c>
      <c r="L53" s="161">
        <f>L54+L73+L95</f>
        <v>101235020.25999999</v>
      </c>
    </row>
    <row r="54" spans="1:12" s="23" customFormat="1" ht="38.25">
      <c r="A54" s="2" t="s">
        <v>136</v>
      </c>
      <c r="B54" s="10" t="s">
        <v>42</v>
      </c>
      <c r="C54" s="10" t="s">
        <v>27</v>
      </c>
      <c r="D54" s="10" t="s">
        <v>20</v>
      </c>
      <c r="E54" s="69" t="s">
        <v>17</v>
      </c>
      <c r="F54" s="10" t="s">
        <v>127</v>
      </c>
      <c r="G54" s="10" t="s">
        <v>148</v>
      </c>
      <c r="H54" s="10" t="s">
        <v>149</v>
      </c>
      <c r="I54" s="17"/>
      <c r="J54" s="117">
        <f>J58+J61+J64+J55+J67+J70</f>
        <v>63445989</v>
      </c>
      <c r="K54" s="161">
        <f>K58+K61+K64+K55+K67+K70</f>
        <v>64291111.119999997</v>
      </c>
      <c r="L54" s="161">
        <f>L58+L61+L64+L55+L67+L70</f>
        <v>64473880.219999999</v>
      </c>
    </row>
    <row r="55" spans="1:12" s="147" customFormat="1" ht="25.5">
      <c r="A55" s="149" t="s">
        <v>377</v>
      </c>
      <c r="B55" s="10" t="s">
        <v>42</v>
      </c>
      <c r="C55" s="10" t="s">
        <v>27</v>
      </c>
      <c r="D55" s="10" t="s">
        <v>20</v>
      </c>
      <c r="E55" s="69" t="s">
        <v>17</v>
      </c>
      <c r="F55" s="10" t="s">
        <v>127</v>
      </c>
      <c r="G55" s="10" t="s">
        <v>148</v>
      </c>
      <c r="H55" s="92" t="s">
        <v>226</v>
      </c>
      <c r="I55" s="17"/>
      <c r="J55" s="117">
        <f>J56</f>
        <v>1410000</v>
      </c>
      <c r="K55" s="161">
        <f t="shared" ref="K55:L56" si="15">K56</f>
        <v>1150000</v>
      </c>
      <c r="L55" s="161">
        <f t="shared" si="15"/>
        <v>500000</v>
      </c>
    </row>
    <row r="56" spans="1:12" s="147" customFormat="1" ht="25.5">
      <c r="A56" s="150" t="s">
        <v>72</v>
      </c>
      <c r="B56" s="151" t="s">
        <v>42</v>
      </c>
      <c r="C56" s="151" t="s">
        <v>27</v>
      </c>
      <c r="D56" s="151" t="s">
        <v>20</v>
      </c>
      <c r="E56" s="69" t="s">
        <v>17</v>
      </c>
      <c r="F56" s="151" t="s">
        <v>127</v>
      </c>
      <c r="G56" s="151" t="s">
        <v>148</v>
      </c>
      <c r="H56" s="160" t="s">
        <v>226</v>
      </c>
      <c r="I56" s="162" t="s">
        <v>71</v>
      </c>
      <c r="J56" s="161">
        <f>J57</f>
        <v>1410000</v>
      </c>
      <c r="K56" s="161">
        <f t="shared" si="15"/>
        <v>1150000</v>
      </c>
      <c r="L56" s="161">
        <f t="shared" si="15"/>
        <v>500000</v>
      </c>
    </row>
    <row r="57" spans="1:12" s="23" customFormat="1">
      <c r="A57" s="152" t="s">
        <v>75</v>
      </c>
      <c r="B57" s="151" t="s">
        <v>42</v>
      </c>
      <c r="C57" s="151" t="s">
        <v>27</v>
      </c>
      <c r="D57" s="151" t="s">
        <v>20</v>
      </c>
      <c r="E57" s="69" t="s">
        <v>17</v>
      </c>
      <c r="F57" s="151" t="s">
        <v>127</v>
      </c>
      <c r="G57" s="151" t="s">
        <v>148</v>
      </c>
      <c r="H57" s="160" t="s">
        <v>226</v>
      </c>
      <c r="I57" s="162" t="s">
        <v>74</v>
      </c>
      <c r="J57" s="161">
        <f>1150000+260000</f>
        <v>1410000</v>
      </c>
      <c r="K57" s="161">
        <v>1150000</v>
      </c>
      <c r="L57" s="161">
        <v>500000</v>
      </c>
    </row>
    <row r="58" spans="1:12" s="23" customFormat="1">
      <c r="A58" s="2" t="s">
        <v>378</v>
      </c>
      <c r="B58" s="10" t="s">
        <v>42</v>
      </c>
      <c r="C58" s="10" t="s">
        <v>27</v>
      </c>
      <c r="D58" s="10" t="s">
        <v>20</v>
      </c>
      <c r="E58" s="69" t="s">
        <v>17</v>
      </c>
      <c r="F58" s="10" t="s">
        <v>127</v>
      </c>
      <c r="G58" s="10" t="s">
        <v>148</v>
      </c>
      <c r="H58" s="10" t="s">
        <v>153</v>
      </c>
      <c r="I58" s="17"/>
      <c r="J58" s="117">
        <f>+J59</f>
        <v>700000</v>
      </c>
      <c r="K58" s="161">
        <f t="shared" ref="K58:L58" si="16">+K59</f>
        <v>700000</v>
      </c>
      <c r="L58" s="161">
        <f t="shared" si="16"/>
        <v>700000</v>
      </c>
    </row>
    <row r="59" spans="1:12" s="23" customFormat="1" ht="25.5">
      <c r="A59" s="7" t="s">
        <v>72</v>
      </c>
      <c r="B59" s="10" t="s">
        <v>42</v>
      </c>
      <c r="C59" s="10" t="s">
        <v>27</v>
      </c>
      <c r="D59" s="10" t="s">
        <v>20</v>
      </c>
      <c r="E59" s="69" t="s">
        <v>17</v>
      </c>
      <c r="F59" s="10" t="s">
        <v>127</v>
      </c>
      <c r="G59" s="10" t="s">
        <v>148</v>
      </c>
      <c r="H59" s="10" t="s">
        <v>153</v>
      </c>
      <c r="I59" s="17" t="s">
        <v>71</v>
      </c>
      <c r="J59" s="117">
        <f>J60</f>
        <v>700000</v>
      </c>
      <c r="K59" s="161">
        <f t="shared" ref="K59:L59" si="17">K60</f>
        <v>700000</v>
      </c>
      <c r="L59" s="161">
        <f t="shared" si="17"/>
        <v>700000</v>
      </c>
    </row>
    <row r="60" spans="1:12" s="23" customFormat="1">
      <c r="A60" s="11" t="s">
        <v>75</v>
      </c>
      <c r="B60" s="10" t="s">
        <v>42</v>
      </c>
      <c r="C60" s="10" t="s">
        <v>27</v>
      </c>
      <c r="D60" s="10" t="s">
        <v>20</v>
      </c>
      <c r="E60" s="69" t="s">
        <v>17</v>
      </c>
      <c r="F60" s="10" t="s">
        <v>127</v>
      </c>
      <c r="G60" s="10" t="s">
        <v>148</v>
      </c>
      <c r="H60" s="10" t="s">
        <v>153</v>
      </c>
      <c r="I60" s="17" t="s">
        <v>74</v>
      </c>
      <c r="J60" s="117">
        <v>700000</v>
      </c>
      <c r="K60" s="161">
        <v>700000</v>
      </c>
      <c r="L60" s="161">
        <v>700000</v>
      </c>
    </row>
    <row r="61" spans="1:12" s="23" customFormat="1">
      <c r="A61" s="149" t="s">
        <v>379</v>
      </c>
      <c r="B61" s="10" t="s">
        <v>42</v>
      </c>
      <c r="C61" s="10" t="s">
        <v>27</v>
      </c>
      <c r="D61" s="10" t="s">
        <v>20</v>
      </c>
      <c r="E61" s="69" t="s">
        <v>17</v>
      </c>
      <c r="F61" s="10" t="s">
        <v>127</v>
      </c>
      <c r="G61" s="10" t="s">
        <v>148</v>
      </c>
      <c r="H61" s="10" t="s">
        <v>154</v>
      </c>
      <c r="I61" s="17"/>
      <c r="J61" s="117">
        <f>J62</f>
        <v>60166660</v>
      </c>
      <c r="K61" s="161">
        <f t="shared" ref="K61:L62" si="18">K62</f>
        <v>61530611.119999997</v>
      </c>
      <c r="L61" s="161">
        <f t="shared" si="18"/>
        <v>62638980.219999999</v>
      </c>
    </row>
    <row r="62" spans="1:12" s="23" customFormat="1" ht="25.5">
      <c r="A62" s="7" t="s">
        <v>72</v>
      </c>
      <c r="B62" s="10" t="s">
        <v>42</v>
      </c>
      <c r="C62" s="10" t="s">
        <v>27</v>
      </c>
      <c r="D62" s="10" t="s">
        <v>20</v>
      </c>
      <c r="E62" s="69" t="s">
        <v>17</v>
      </c>
      <c r="F62" s="10" t="s">
        <v>127</v>
      </c>
      <c r="G62" s="10" t="s">
        <v>148</v>
      </c>
      <c r="H62" s="10" t="s">
        <v>154</v>
      </c>
      <c r="I62" s="17" t="s">
        <v>71</v>
      </c>
      <c r="J62" s="117">
        <f>J63</f>
        <v>60166660</v>
      </c>
      <c r="K62" s="161">
        <f t="shared" si="18"/>
        <v>61530611.119999997</v>
      </c>
      <c r="L62" s="161">
        <f t="shared" si="18"/>
        <v>62638980.219999999</v>
      </c>
    </row>
    <row r="63" spans="1:12">
      <c r="A63" s="11" t="s">
        <v>75</v>
      </c>
      <c r="B63" s="10" t="s">
        <v>42</v>
      </c>
      <c r="C63" s="10" t="s">
        <v>27</v>
      </c>
      <c r="D63" s="10" t="s">
        <v>20</v>
      </c>
      <c r="E63" s="69" t="s">
        <v>17</v>
      </c>
      <c r="F63" s="10" t="s">
        <v>127</v>
      </c>
      <c r="G63" s="10" t="s">
        <v>148</v>
      </c>
      <c r="H63" s="10" t="s">
        <v>154</v>
      </c>
      <c r="I63" s="17" t="s">
        <v>74</v>
      </c>
      <c r="J63" s="117">
        <f>59666660+500000</f>
        <v>60166660</v>
      </c>
      <c r="K63" s="161">
        <f>61030611.12+500000</f>
        <v>61530611.119999997</v>
      </c>
      <c r="L63" s="161">
        <f>62438980.22+200000</f>
        <v>62638980.219999999</v>
      </c>
    </row>
    <row r="64" spans="1:12">
      <c r="A64" s="11" t="s">
        <v>380</v>
      </c>
      <c r="B64" s="10" t="s">
        <v>42</v>
      </c>
      <c r="C64" s="10" t="s">
        <v>27</v>
      </c>
      <c r="D64" s="10" t="s">
        <v>20</v>
      </c>
      <c r="E64" s="69" t="s">
        <v>17</v>
      </c>
      <c r="F64" s="10" t="s">
        <v>127</v>
      </c>
      <c r="G64" s="10" t="s">
        <v>148</v>
      </c>
      <c r="H64" s="10" t="s">
        <v>155</v>
      </c>
      <c r="I64" s="17"/>
      <c r="J64" s="117">
        <f>J65</f>
        <v>300000</v>
      </c>
      <c r="K64" s="161">
        <f t="shared" ref="K64:L65" si="19">K65</f>
        <v>300000</v>
      </c>
      <c r="L64" s="161">
        <f t="shared" si="19"/>
        <v>0</v>
      </c>
    </row>
    <row r="65" spans="1:12" ht="25.5">
      <c r="A65" s="157" t="s">
        <v>260</v>
      </c>
      <c r="B65" s="10" t="s">
        <v>42</v>
      </c>
      <c r="C65" s="10" t="s">
        <v>27</v>
      </c>
      <c r="D65" s="10" t="s">
        <v>20</v>
      </c>
      <c r="E65" s="69" t="s">
        <v>17</v>
      </c>
      <c r="F65" s="10" t="s">
        <v>127</v>
      </c>
      <c r="G65" s="10" t="s">
        <v>148</v>
      </c>
      <c r="H65" s="10" t="s">
        <v>155</v>
      </c>
      <c r="I65" s="17" t="s">
        <v>94</v>
      </c>
      <c r="J65" s="117">
        <f>J66</f>
        <v>300000</v>
      </c>
      <c r="K65" s="161">
        <f t="shared" si="19"/>
        <v>300000</v>
      </c>
      <c r="L65" s="161">
        <f t="shared" si="19"/>
        <v>0</v>
      </c>
    </row>
    <row r="66" spans="1:12" ht="25.5">
      <c r="A66" s="81" t="s">
        <v>98</v>
      </c>
      <c r="B66" s="10" t="s">
        <v>42</v>
      </c>
      <c r="C66" s="10" t="s">
        <v>27</v>
      </c>
      <c r="D66" s="10" t="s">
        <v>20</v>
      </c>
      <c r="E66" s="69" t="s">
        <v>17</v>
      </c>
      <c r="F66" s="10" t="s">
        <v>127</v>
      </c>
      <c r="G66" s="10" t="s">
        <v>148</v>
      </c>
      <c r="H66" s="10" t="s">
        <v>155</v>
      </c>
      <c r="I66" s="17" t="s">
        <v>95</v>
      </c>
      <c r="J66" s="117">
        <v>300000</v>
      </c>
      <c r="K66" s="161">
        <v>300000</v>
      </c>
      <c r="L66" s="161"/>
    </row>
    <row r="67" spans="1:12" s="23" customFormat="1" ht="38.25">
      <c r="A67" s="2" t="s">
        <v>381</v>
      </c>
      <c r="B67" s="10" t="s">
        <v>42</v>
      </c>
      <c r="C67" s="10" t="s">
        <v>27</v>
      </c>
      <c r="D67" s="10" t="s">
        <v>20</v>
      </c>
      <c r="E67" s="69" t="s">
        <v>17</v>
      </c>
      <c r="F67" s="10" t="s">
        <v>127</v>
      </c>
      <c r="G67" s="10" t="s">
        <v>148</v>
      </c>
      <c r="H67" s="10" t="s">
        <v>156</v>
      </c>
      <c r="I67" s="17"/>
      <c r="J67" s="117">
        <f>J68</f>
        <v>619329</v>
      </c>
      <c r="K67" s="161">
        <f t="shared" ref="K67:L68" si="20">K68</f>
        <v>610500</v>
      </c>
      <c r="L67" s="161">
        <f t="shared" si="20"/>
        <v>634900</v>
      </c>
    </row>
    <row r="68" spans="1:12" s="23" customFormat="1" ht="25.5">
      <c r="A68" s="7" t="s">
        <v>72</v>
      </c>
      <c r="B68" s="10" t="s">
        <v>42</v>
      </c>
      <c r="C68" s="10" t="s">
        <v>27</v>
      </c>
      <c r="D68" s="10" t="s">
        <v>20</v>
      </c>
      <c r="E68" s="69" t="s">
        <v>17</v>
      </c>
      <c r="F68" s="10" t="s">
        <v>127</v>
      </c>
      <c r="G68" s="10" t="s">
        <v>148</v>
      </c>
      <c r="H68" s="10" t="s">
        <v>156</v>
      </c>
      <c r="I68" s="17" t="s">
        <v>71</v>
      </c>
      <c r="J68" s="117">
        <f>J69</f>
        <v>619329</v>
      </c>
      <c r="K68" s="161">
        <f t="shared" si="20"/>
        <v>610500</v>
      </c>
      <c r="L68" s="161">
        <f t="shared" si="20"/>
        <v>634900</v>
      </c>
    </row>
    <row r="69" spans="1:12" s="23" customFormat="1">
      <c r="A69" s="11" t="s">
        <v>75</v>
      </c>
      <c r="B69" s="10" t="s">
        <v>42</v>
      </c>
      <c r="C69" s="10" t="s">
        <v>27</v>
      </c>
      <c r="D69" s="10" t="s">
        <v>20</v>
      </c>
      <c r="E69" s="69" t="s">
        <v>17</v>
      </c>
      <c r="F69" s="10" t="s">
        <v>127</v>
      </c>
      <c r="G69" s="10" t="s">
        <v>148</v>
      </c>
      <c r="H69" s="10" t="s">
        <v>156</v>
      </c>
      <c r="I69" s="17" t="s">
        <v>74</v>
      </c>
      <c r="J69" s="117">
        <v>619329</v>
      </c>
      <c r="K69" s="161">
        <v>610500</v>
      </c>
      <c r="L69" s="161">
        <v>634900</v>
      </c>
    </row>
    <row r="70" spans="1:12" s="155" customFormat="1" ht="25.5">
      <c r="A70" s="152" t="s">
        <v>312</v>
      </c>
      <c r="B70" s="151" t="s">
        <v>42</v>
      </c>
      <c r="C70" s="151" t="s">
        <v>27</v>
      </c>
      <c r="D70" s="151" t="s">
        <v>20</v>
      </c>
      <c r="E70" s="69" t="s">
        <v>17</v>
      </c>
      <c r="F70" s="151" t="s">
        <v>127</v>
      </c>
      <c r="G70" s="151" t="s">
        <v>148</v>
      </c>
      <c r="H70" s="136" t="s">
        <v>311</v>
      </c>
      <c r="I70" s="153"/>
      <c r="J70" s="161">
        <f>J71</f>
        <v>250000</v>
      </c>
      <c r="K70" s="161">
        <f t="shared" ref="K70:L71" si="21">K71</f>
        <v>0</v>
      </c>
      <c r="L70" s="161">
        <f t="shared" si="21"/>
        <v>0</v>
      </c>
    </row>
    <row r="71" spans="1:12" s="155" customFormat="1" ht="25.5">
      <c r="A71" s="150" t="s">
        <v>72</v>
      </c>
      <c r="B71" s="151" t="s">
        <v>42</v>
      </c>
      <c r="C71" s="151" t="s">
        <v>27</v>
      </c>
      <c r="D71" s="151" t="s">
        <v>20</v>
      </c>
      <c r="E71" s="69" t="s">
        <v>17</v>
      </c>
      <c r="F71" s="151" t="s">
        <v>127</v>
      </c>
      <c r="G71" s="151" t="s">
        <v>148</v>
      </c>
      <c r="H71" s="136" t="s">
        <v>311</v>
      </c>
      <c r="I71" s="137" t="s">
        <v>71</v>
      </c>
      <c r="J71" s="161">
        <f>J72</f>
        <v>250000</v>
      </c>
      <c r="K71" s="161">
        <f t="shared" si="21"/>
        <v>0</v>
      </c>
      <c r="L71" s="161">
        <f t="shared" si="21"/>
        <v>0</v>
      </c>
    </row>
    <row r="72" spans="1:12" s="155" customFormat="1">
      <c r="A72" s="152" t="s">
        <v>75</v>
      </c>
      <c r="B72" s="151" t="s">
        <v>42</v>
      </c>
      <c r="C72" s="151" t="s">
        <v>27</v>
      </c>
      <c r="D72" s="151" t="s">
        <v>20</v>
      </c>
      <c r="E72" s="69" t="s">
        <v>17</v>
      </c>
      <c r="F72" s="151" t="s">
        <v>127</v>
      </c>
      <c r="G72" s="151" t="s">
        <v>148</v>
      </c>
      <c r="H72" s="136" t="s">
        <v>311</v>
      </c>
      <c r="I72" s="137" t="s">
        <v>74</v>
      </c>
      <c r="J72" s="161">
        <v>250000</v>
      </c>
      <c r="K72" s="161"/>
      <c r="L72" s="161"/>
    </row>
    <row r="73" spans="1:12" s="23" customFormat="1" ht="25.5">
      <c r="A73" s="2" t="s">
        <v>135</v>
      </c>
      <c r="B73" s="10" t="s">
        <v>42</v>
      </c>
      <c r="C73" s="10" t="s">
        <v>27</v>
      </c>
      <c r="D73" s="10" t="s">
        <v>20</v>
      </c>
      <c r="E73" s="69" t="s">
        <v>17</v>
      </c>
      <c r="F73" s="10" t="s">
        <v>134</v>
      </c>
      <c r="G73" s="10" t="s">
        <v>148</v>
      </c>
      <c r="H73" s="10" t="s">
        <v>149</v>
      </c>
      <c r="I73" s="17"/>
      <c r="J73" s="117">
        <f>J80+J77+J74+J83+J92+J86+J89</f>
        <v>32993690.810000002</v>
      </c>
      <c r="K73" s="161">
        <f>K80+K77+K74+K83+K92+K86+K89</f>
        <v>32313712.100000001</v>
      </c>
      <c r="L73" s="161">
        <f>L80+L77+L74+L83+L92+L86+L89</f>
        <v>32029329.300000001</v>
      </c>
    </row>
    <row r="74" spans="1:12" s="23" customFormat="1" ht="25.5">
      <c r="A74" s="149" t="s">
        <v>377</v>
      </c>
      <c r="B74" s="10" t="s">
        <v>42</v>
      </c>
      <c r="C74" s="10" t="s">
        <v>27</v>
      </c>
      <c r="D74" s="10" t="s">
        <v>20</v>
      </c>
      <c r="E74" s="69" t="s">
        <v>17</v>
      </c>
      <c r="F74" s="10" t="s">
        <v>134</v>
      </c>
      <c r="G74" s="10" t="s">
        <v>148</v>
      </c>
      <c r="H74" s="92" t="s">
        <v>226</v>
      </c>
      <c r="I74" s="17"/>
      <c r="J74" s="117">
        <f>J75</f>
        <v>1100000</v>
      </c>
      <c r="K74" s="161">
        <f t="shared" ref="K74:L75" si="22">K75</f>
        <v>0</v>
      </c>
      <c r="L74" s="161">
        <f t="shared" si="22"/>
        <v>0</v>
      </c>
    </row>
    <row r="75" spans="1:12" s="23" customFormat="1" ht="25.5">
      <c r="A75" s="7" t="s">
        <v>72</v>
      </c>
      <c r="B75" s="10" t="s">
        <v>42</v>
      </c>
      <c r="C75" s="10" t="s">
        <v>27</v>
      </c>
      <c r="D75" s="10" t="s">
        <v>20</v>
      </c>
      <c r="E75" s="69" t="s">
        <v>17</v>
      </c>
      <c r="F75" s="10" t="s">
        <v>134</v>
      </c>
      <c r="G75" s="10" t="s">
        <v>148</v>
      </c>
      <c r="H75" s="160" t="s">
        <v>226</v>
      </c>
      <c r="I75" s="133" t="s">
        <v>71</v>
      </c>
      <c r="J75" s="117">
        <f>J76</f>
        <v>1100000</v>
      </c>
      <c r="K75" s="161">
        <f t="shared" si="22"/>
        <v>0</v>
      </c>
      <c r="L75" s="161">
        <f t="shared" si="22"/>
        <v>0</v>
      </c>
    </row>
    <row r="76" spans="1:12" s="23" customFormat="1">
      <c r="A76" s="11" t="s">
        <v>75</v>
      </c>
      <c r="B76" s="10" t="s">
        <v>42</v>
      </c>
      <c r="C76" s="10" t="s">
        <v>27</v>
      </c>
      <c r="D76" s="10" t="s">
        <v>20</v>
      </c>
      <c r="E76" s="69" t="s">
        <v>17</v>
      </c>
      <c r="F76" s="10" t="s">
        <v>134</v>
      </c>
      <c r="G76" s="10" t="s">
        <v>148</v>
      </c>
      <c r="H76" s="160" t="s">
        <v>226</v>
      </c>
      <c r="I76" s="133" t="s">
        <v>74</v>
      </c>
      <c r="J76" s="117">
        <v>1100000</v>
      </c>
      <c r="K76" s="161"/>
      <c r="L76" s="161"/>
    </row>
    <row r="77" spans="1:12" s="23" customFormat="1">
      <c r="A77" s="2" t="s">
        <v>86</v>
      </c>
      <c r="B77" s="10" t="s">
        <v>42</v>
      </c>
      <c r="C77" s="10" t="s">
        <v>27</v>
      </c>
      <c r="D77" s="10" t="s">
        <v>20</v>
      </c>
      <c r="E77" s="69" t="s">
        <v>17</v>
      </c>
      <c r="F77" s="10" t="s">
        <v>134</v>
      </c>
      <c r="G77" s="10" t="s">
        <v>148</v>
      </c>
      <c r="H77" s="10" t="s">
        <v>157</v>
      </c>
      <c r="I77" s="17"/>
      <c r="J77" s="117">
        <f>J78</f>
        <v>30893146</v>
      </c>
      <c r="K77" s="161">
        <f t="shared" ref="K77:L78" si="23">K78</f>
        <v>31343649.16</v>
      </c>
      <c r="L77" s="161">
        <f t="shared" si="23"/>
        <v>31404445.41</v>
      </c>
    </row>
    <row r="78" spans="1:12" s="23" customFormat="1" ht="25.5">
      <c r="A78" s="7" t="s">
        <v>72</v>
      </c>
      <c r="B78" s="10" t="s">
        <v>42</v>
      </c>
      <c r="C78" s="10" t="s">
        <v>27</v>
      </c>
      <c r="D78" s="10" t="s">
        <v>20</v>
      </c>
      <c r="E78" s="69" t="s">
        <v>17</v>
      </c>
      <c r="F78" s="10" t="s">
        <v>134</v>
      </c>
      <c r="G78" s="10" t="s">
        <v>148</v>
      </c>
      <c r="H78" s="10" t="s">
        <v>157</v>
      </c>
      <c r="I78" s="17" t="s">
        <v>71</v>
      </c>
      <c r="J78" s="117">
        <f>J79</f>
        <v>30893146</v>
      </c>
      <c r="K78" s="161">
        <f t="shared" si="23"/>
        <v>31343649.16</v>
      </c>
      <c r="L78" s="161">
        <f t="shared" si="23"/>
        <v>31404445.41</v>
      </c>
    </row>
    <row r="79" spans="1:12" s="23" customFormat="1">
      <c r="A79" s="11" t="s">
        <v>75</v>
      </c>
      <c r="B79" s="10" t="s">
        <v>42</v>
      </c>
      <c r="C79" s="10" t="s">
        <v>27</v>
      </c>
      <c r="D79" s="10" t="s">
        <v>20</v>
      </c>
      <c r="E79" s="69" t="s">
        <v>17</v>
      </c>
      <c r="F79" s="10" t="s">
        <v>134</v>
      </c>
      <c r="G79" s="10" t="s">
        <v>148</v>
      </c>
      <c r="H79" s="10" t="s">
        <v>157</v>
      </c>
      <c r="I79" s="17" t="s">
        <v>74</v>
      </c>
      <c r="J79" s="117">
        <f>30493146+400000</f>
        <v>30893146</v>
      </c>
      <c r="K79" s="161">
        <f>30943649.16+400000</f>
        <v>31343649.16</v>
      </c>
      <c r="L79" s="161">
        <f>31204445.41+200000</f>
        <v>31404445.41</v>
      </c>
    </row>
    <row r="80" spans="1:12" s="23" customFormat="1">
      <c r="A80" s="2" t="s">
        <v>378</v>
      </c>
      <c r="B80" s="10" t="s">
        <v>42</v>
      </c>
      <c r="C80" s="10" t="s">
        <v>27</v>
      </c>
      <c r="D80" s="10" t="s">
        <v>20</v>
      </c>
      <c r="E80" s="69" t="s">
        <v>17</v>
      </c>
      <c r="F80" s="10" t="s">
        <v>134</v>
      </c>
      <c r="G80" s="10" t="s">
        <v>148</v>
      </c>
      <c r="H80" s="136" t="s">
        <v>153</v>
      </c>
      <c r="I80" s="17"/>
      <c r="J80" s="117">
        <f>J81</f>
        <v>20000</v>
      </c>
      <c r="K80" s="161">
        <f t="shared" ref="K80:L81" si="24">K81</f>
        <v>20000</v>
      </c>
      <c r="L80" s="161">
        <f>L81</f>
        <v>20000</v>
      </c>
    </row>
    <row r="81" spans="1:12" s="23" customFormat="1" ht="25.5">
      <c r="A81" s="7" t="s">
        <v>72</v>
      </c>
      <c r="B81" s="10" t="s">
        <v>42</v>
      </c>
      <c r="C81" s="10" t="s">
        <v>27</v>
      </c>
      <c r="D81" s="10" t="s">
        <v>20</v>
      </c>
      <c r="E81" s="69" t="s">
        <v>17</v>
      </c>
      <c r="F81" s="10" t="s">
        <v>134</v>
      </c>
      <c r="G81" s="10" t="s">
        <v>148</v>
      </c>
      <c r="H81" s="136" t="s">
        <v>153</v>
      </c>
      <c r="I81" s="17" t="s">
        <v>71</v>
      </c>
      <c r="J81" s="117">
        <f>J82</f>
        <v>20000</v>
      </c>
      <c r="K81" s="161">
        <f t="shared" si="24"/>
        <v>20000</v>
      </c>
      <c r="L81" s="161">
        <f t="shared" si="24"/>
        <v>20000</v>
      </c>
    </row>
    <row r="82" spans="1:12" s="23" customFormat="1">
      <c r="A82" s="11" t="s">
        <v>75</v>
      </c>
      <c r="B82" s="10" t="s">
        <v>42</v>
      </c>
      <c r="C82" s="10" t="s">
        <v>27</v>
      </c>
      <c r="D82" s="10" t="s">
        <v>20</v>
      </c>
      <c r="E82" s="69" t="s">
        <v>17</v>
      </c>
      <c r="F82" s="10" t="s">
        <v>134</v>
      </c>
      <c r="G82" s="10" t="s">
        <v>148</v>
      </c>
      <c r="H82" s="136" t="s">
        <v>153</v>
      </c>
      <c r="I82" s="17" t="s">
        <v>74</v>
      </c>
      <c r="J82" s="117">
        <v>20000</v>
      </c>
      <c r="K82" s="161">
        <v>20000</v>
      </c>
      <c r="L82" s="161">
        <v>20000</v>
      </c>
    </row>
    <row r="83" spans="1:12" s="23" customFormat="1" ht="38.25">
      <c r="A83" s="149" t="s">
        <v>381</v>
      </c>
      <c r="B83" s="10" t="s">
        <v>42</v>
      </c>
      <c r="C83" s="10" t="s">
        <v>27</v>
      </c>
      <c r="D83" s="10" t="s">
        <v>20</v>
      </c>
      <c r="E83" s="69" t="s">
        <v>17</v>
      </c>
      <c r="F83" s="10" t="s">
        <v>134</v>
      </c>
      <c r="G83" s="10" t="s">
        <v>148</v>
      </c>
      <c r="H83" s="10" t="s">
        <v>156</v>
      </c>
      <c r="I83" s="17"/>
      <c r="J83" s="117">
        <f>J84</f>
        <v>527218</v>
      </c>
      <c r="K83" s="161">
        <f t="shared" ref="K83:L84" si="25">K84</f>
        <v>512783</v>
      </c>
      <c r="L83" s="161">
        <f t="shared" si="25"/>
        <v>533293</v>
      </c>
    </row>
    <row r="84" spans="1:12" s="23" customFormat="1" ht="25.5">
      <c r="A84" s="7" t="s">
        <v>72</v>
      </c>
      <c r="B84" s="10" t="s">
        <v>42</v>
      </c>
      <c r="C84" s="10" t="s">
        <v>27</v>
      </c>
      <c r="D84" s="10" t="s">
        <v>20</v>
      </c>
      <c r="E84" s="69" t="s">
        <v>17</v>
      </c>
      <c r="F84" s="10" t="s">
        <v>134</v>
      </c>
      <c r="G84" s="10" t="s">
        <v>148</v>
      </c>
      <c r="H84" s="10" t="s">
        <v>156</v>
      </c>
      <c r="I84" s="17" t="s">
        <v>71</v>
      </c>
      <c r="J84" s="117">
        <f>J85</f>
        <v>527218</v>
      </c>
      <c r="K84" s="161">
        <f t="shared" si="25"/>
        <v>512783</v>
      </c>
      <c r="L84" s="161">
        <f t="shared" si="25"/>
        <v>533293</v>
      </c>
    </row>
    <row r="85" spans="1:12" s="155" customFormat="1">
      <c r="A85" s="11" t="s">
        <v>75</v>
      </c>
      <c r="B85" s="10" t="s">
        <v>42</v>
      </c>
      <c r="C85" s="10" t="s">
        <v>27</v>
      </c>
      <c r="D85" s="10" t="s">
        <v>20</v>
      </c>
      <c r="E85" s="69" t="s">
        <v>17</v>
      </c>
      <c r="F85" s="10" t="s">
        <v>134</v>
      </c>
      <c r="G85" s="10" t="s">
        <v>148</v>
      </c>
      <c r="H85" s="10" t="s">
        <v>156</v>
      </c>
      <c r="I85" s="17" t="s">
        <v>74</v>
      </c>
      <c r="J85" s="117">
        <v>527218</v>
      </c>
      <c r="K85" s="161">
        <v>512783</v>
      </c>
      <c r="L85" s="161">
        <v>533293</v>
      </c>
    </row>
    <row r="86" spans="1:12" s="155" customFormat="1" ht="51">
      <c r="A86" s="149" t="s">
        <v>262</v>
      </c>
      <c r="B86" s="151" t="s">
        <v>42</v>
      </c>
      <c r="C86" s="151" t="s">
        <v>27</v>
      </c>
      <c r="D86" s="151" t="s">
        <v>20</v>
      </c>
      <c r="E86" s="151" t="s">
        <v>17</v>
      </c>
      <c r="F86" s="151" t="s">
        <v>134</v>
      </c>
      <c r="G86" s="151" t="s">
        <v>148</v>
      </c>
      <c r="H86" s="160" t="s">
        <v>263</v>
      </c>
      <c r="I86" s="153"/>
      <c r="J86" s="161">
        <f>J87</f>
        <v>16046.87</v>
      </c>
      <c r="K86" s="161">
        <f t="shared" ref="K86:L87" si="26">K87</f>
        <v>0</v>
      </c>
      <c r="L86" s="161">
        <f t="shared" si="26"/>
        <v>0</v>
      </c>
    </row>
    <row r="87" spans="1:12" s="155" customFormat="1" ht="25.5">
      <c r="A87" s="150" t="s">
        <v>72</v>
      </c>
      <c r="B87" s="151" t="s">
        <v>42</v>
      </c>
      <c r="C87" s="151" t="s">
        <v>27</v>
      </c>
      <c r="D87" s="151" t="s">
        <v>20</v>
      </c>
      <c r="E87" s="151" t="s">
        <v>17</v>
      </c>
      <c r="F87" s="151" t="s">
        <v>134</v>
      </c>
      <c r="G87" s="151" t="s">
        <v>148</v>
      </c>
      <c r="H87" s="160" t="s">
        <v>263</v>
      </c>
      <c r="I87" s="153" t="s">
        <v>71</v>
      </c>
      <c r="J87" s="161">
        <f>J88</f>
        <v>16046.87</v>
      </c>
      <c r="K87" s="161">
        <f t="shared" si="26"/>
        <v>0</v>
      </c>
      <c r="L87" s="161">
        <f t="shared" si="26"/>
        <v>0</v>
      </c>
    </row>
    <row r="88" spans="1:12" s="155" customFormat="1">
      <c r="A88" s="152" t="s">
        <v>75</v>
      </c>
      <c r="B88" s="151" t="s">
        <v>42</v>
      </c>
      <c r="C88" s="151" t="s">
        <v>27</v>
      </c>
      <c r="D88" s="151" t="s">
        <v>20</v>
      </c>
      <c r="E88" s="151" t="s">
        <v>17</v>
      </c>
      <c r="F88" s="151" t="s">
        <v>134</v>
      </c>
      <c r="G88" s="151" t="s">
        <v>148</v>
      </c>
      <c r="H88" s="160" t="s">
        <v>263</v>
      </c>
      <c r="I88" s="153" t="s">
        <v>74</v>
      </c>
      <c r="J88" s="161">
        <v>16046.87</v>
      </c>
      <c r="K88" s="161"/>
      <c r="L88" s="161"/>
    </row>
    <row r="89" spans="1:12" s="155" customFormat="1" ht="25.5">
      <c r="A89" s="174" t="s">
        <v>303</v>
      </c>
      <c r="B89" s="151" t="s">
        <v>42</v>
      </c>
      <c r="C89" s="151" t="s">
        <v>27</v>
      </c>
      <c r="D89" s="151" t="s">
        <v>20</v>
      </c>
      <c r="E89" s="151" t="s">
        <v>17</v>
      </c>
      <c r="F89" s="151" t="s">
        <v>134</v>
      </c>
      <c r="G89" s="151" t="s">
        <v>148</v>
      </c>
      <c r="H89" s="160" t="s">
        <v>302</v>
      </c>
      <c r="I89" s="153"/>
      <c r="J89" s="161">
        <f>J90</f>
        <v>71590.89</v>
      </c>
      <c r="K89" s="161">
        <f t="shared" ref="K89:L90" si="27">K90</f>
        <v>71590.89</v>
      </c>
      <c r="L89" s="161">
        <f t="shared" si="27"/>
        <v>71590.89</v>
      </c>
    </row>
    <row r="90" spans="1:12" s="155" customFormat="1" ht="25.5">
      <c r="A90" s="150" t="s">
        <v>72</v>
      </c>
      <c r="B90" s="151" t="s">
        <v>42</v>
      </c>
      <c r="C90" s="151" t="s">
        <v>27</v>
      </c>
      <c r="D90" s="151" t="s">
        <v>20</v>
      </c>
      <c r="E90" s="151" t="s">
        <v>17</v>
      </c>
      <c r="F90" s="151" t="s">
        <v>134</v>
      </c>
      <c r="G90" s="151" t="s">
        <v>148</v>
      </c>
      <c r="H90" s="160" t="s">
        <v>302</v>
      </c>
      <c r="I90" s="137" t="s">
        <v>71</v>
      </c>
      <c r="J90" s="161">
        <f>J91</f>
        <v>71590.89</v>
      </c>
      <c r="K90" s="161">
        <f t="shared" si="27"/>
        <v>71590.89</v>
      </c>
      <c r="L90" s="161">
        <f t="shared" si="27"/>
        <v>71590.89</v>
      </c>
    </row>
    <row r="91" spans="1:12" s="155" customFormat="1">
      <c r="A91" s="152" t="s">
        <v>75</v>
      </c>
      <c r="B91" s="151" t="s">
        <v>42</v>
      </c>
      <c r="C91" s="151" t="s">
        <v>27</v>
      </c>
      <c r="D91" s="151" t="s">
        <v>20</v>
      </c>
      <c r="E91" s="151" t="s">
        <v>17</v>
      </c>
      <c r="F91" s="151" t="s">
        <v>134</v>
      </c>
      <c r="G91" s="151" t="s">
        <v>148</v>
      </c>
      <c r="H91" s="160" t="s">
        <v>302</v>
      </c>
      <c r="I91" s="137" t="s">
        <v>74</v>
      </c>
      <c r="J91" s="161">
        <v>71590.89</v>
      </c>
      <c r="K91" s="161">
        <v>71590.89</v>
      </c>
      <c r="L91" s="161">
        <v>71590.89</v>
      </c>
    </row>
    <row r="92" spans="1:12" s="155" customFormat="1" ht="38.25">
      <c r="A92" s="174" t="s">
        <v>264</v>
      </c>
      <c r="B92" s="148" t="s">
        <v>42</v>
      </c>
      <c r="C92" s="148" t="s">
        <v>27</v>
      </c>
      <c r="D92" s="148" t="s">
        <v>20</v>
      </c>
      <c r="E92" s="148" t="s">
        <v>17</v>
      </c>
      <c r="F92" s="148" t="s">
        <v>134</v>
      </c>
      <c r="G92" s="148" t="s">
        <v>148</v>
      </c>
      <c r="H92" s="148" t="s">
        <v>265</v>
      </c>
      <c r="I92" s="146"/>
      <c r="J92" s="161">
        <f>J93</f>
        <v>365689.05</v>
      </c>
      <c r="K92" s="161">
        <f t="shared" ref="K92:L93" si="28">K93</f>
        <v>365689.05</v>
      </c>
      <c r="L92" s="161">
        <f t="shared" si="28"/>
        <v>0</v>
      </c>
    </row>
    <row r="93" spans="1:12" s="155" customFormat="1" ht="25.5">
      <c r="A93" s="150" t="s">
        <v>72</v>
      </c>
      <c r="B93" s="151" t="s">
        <v>42</v>
      </c>
      <c r="C93" s="151" t="s">
        <v>27</v>
      </c>
      <c r="D93" s="151" t="s">
        <v>20</v>
      </c>
      <c r="E93" s="151" t="s">
        <v>17</v>
      </c>
      <c r="F93" s="151" t="s">
        <v>134</v>
      </c>
      <c r="G93" s="151" t="s">
        <v>148</v>
      </c>
      <c r="H93" s="160" t="s">
        <v>265</v>
      </c>
      <c r="I93" s="162" t="s">
        <v>71</v>
      </c>
      <c r="J93" s="161">
        <f>J94</f>
        <v>365689.05</v>
      </c>
      <c r="K93" s="161">
        <f t="shared" si="28"/>
        <v>365689.05</v>
      </c>
      <c r="L93" s="161">
        <f t="shared" si="28"/>
        <v>0</v>
      </c>
    </row>
    <row r="94" spans="1:12">
      <c r="A94" s="152" t="s">
        <v>75</v>
      </c>
      <c r="B94" s="151" t="s">
        <v>42</v>
      </c>
      <c r="C94" s="151" t="s">
        <v>27</v>
      </c>
      <c r="D94" s="151" t="s">
        <v>20</v>
      </c>
      <c r="E94" s="151" t="s">
        <v>17</v>
      </c>
      <c r="F94" s="151" t="s">
        <v>134</v>
      </c>
      <c r="G94" s="151" t="s">
        <v>148</v>
      </c>
      <c r="H94" s="160" t="s">
        <v>265</v>
      </c>
      <c r="I94" s="162" t="s">
        <v>74</v>
      </c>
      <c r="J94" s="161">
        <f>294506.8+71182.25</f>
        <v>365689.05</v>
      </c>
      <c r="K94" s="161">
        <f>294506.8+71182.25</f>
        <v>365689.05</v>
      </c>
      <c r="L94" s="161"/>
    </row>
    <row r="95" spans="1:12" ht="15" customHeight="1">
      <c r="A95" s="149" t="s">
        <v>314</v>
      </c>
      <c r="B95" s="69" t="s">
        <v>42</v>
      </c>
      <c r="C95" s="10" t="s">
        <v>27</v>
      </c>
      <c r="D95" s="10" t="s">
        <v>20</v>
      </c>
      <c r="E95" s="151" t="s">
        <v>17</v>
      </c>
      <c r="F95" s="1" t="s">
        <v>44</v>
      </c>
      <c r="G95" s="1" t="s">
        <v>148</v>
      </c>
      <c r="H95" s="1" t="s">
        <v>149</v>
      </c>
      <c r="I95" s="13"/>
      <c r="J95" s="120">
        <f>J96+J99</f>
        <v>4615689</v>
      </c>
      <c r="K95" s="120">
        <f t="shared" ref="K95:L95" si="29">K96+K99</f>
        <v>4669393.22</v>
      </c>
      <c r="L95" s="120">
        <f t="shared" si="29"/>
        <v>4731810.74</v>
      </c>
    </row>
    <row r="96" spans="1:12" ht="15.75" customHeight="1">
      <c r="A96" s="2" t="s">
        <v>189</v>
      </c>
      <c r="B96" s="69" t="s">
        <v>42</v>
      </c>
      <c r="C96" s="10" t="s">
        <v>27</v>
      </c>
      <c r="D96" s="10" t="s">
        <v>20</v>
      </c>
      <c r="E96" s="151" t="s">
        <v>17</v>
      </c>
      <c r="F96" s="148" t="s">
        <v>44</v>
      </c>
      <c r="G96" s="1" t="s">
        <v>148</v>
      </c>
      <c r="H96" s="1" t="s">
        <v>188</v>
      </c>
      <c r="I96" s="13"/>
      <c r="J96" s="120">
        <f>J97</f>
        <v>4478350</v>
      </c>
      <c r="K96" s="120">
        <f t="shared" ref="K96:L97" si="30">K97</f>
        <v>4534720.22</v>
      </c>
      <c r="L96" s="120">
        <f t="shared" si="30"/>
        <v>4591710.74</v>
      </c>
    </row>
    <row r="97" spans="1:12" ht="25.5">
      <c r="A97" s="7" t="s">
        <v>72</v>
      </c>
      <c r="B97" s="69" t="s">
        <v>42</v>
      </c>
      <c r="C97" s="10" t="s">
        <v>27</v>
      </c>
      <c r="D97" s="10" t="s">
        <v>20</v>
      </c>
      <c r="E97" s="151" t="s">
        <v>17</v>
      </c>
      <c r="F97" s="148" t="s">
        <v>44</v>
      </c>
      <c r="G97" s="1" t="s">
        <v>148</v>
      </c>
      <c r="H97" s="1" t="s">
        <v>188</v>
      </c>
      <c r="I97" s="13" t="s">
        <v>71</v>
      </c>
      <c r="J97" s="120">
        <f>J98</f>
        <v>4478350</v>
      </c>
      <c r="K97" s="120">
        <f t="shared" si="30"/>
        <v>4534720.22</v>
      </c>
      <c r="L97" s="120">
        <f t="shared" si="30"/>
        <v>4591710.74</v>
      </c>
    </row>
    <row r="98" spans="1:12">
      <c r="A98" s="11" t="s">
        <v>75</v>
      </c>
      <c r="B98" s="69" t="s">
        <v>42</v>
      </c>
      <c r="C98" s="10" t="s">
        <v>27</v>
      </c>
      <c r="D98" s="10" t="s">
        <v>20</v>
      </c>
      <c r="E98" s="151" t="s">
        <v>17</v>
      </c>
      <c r="F98" s="148" t="s">
        <v>44</v>
      </c>
      <c r="G98" s="1" t="s">
        <v>148</v>
      </c>
      <c r="H98" s="1" t="s">
        <v>188</v>
      </c>
      <c r="I98" s="13" t="s">
        <v>74</v>
      </c>
      <c r="J98" s="120">
        <f>4428350+50000</f>
        <v>4478350</v>
      </c>
      <c r="K98" s="120">
        <f>4484720.22+50000</f>
        <v>4534720.22</v>
      </c>
      <c r="L98" s="120">
        <f>4541710.74+50000</f>
        <v>4591710.74</v>
      </c>
    </row>
    <row r="99" spans="1:12" ht="38.25">
      <c r="A99" s="149" t="s">
        <v>381</v>
      </c>
      <c r="B99" s="69" t="s">
        <v>42</v>
      </c>
      <c r="C99" s="10" t="s">
        <v>27</v>
      </c>
      <c r="D99" s="10" t="s">
        <v>20</v>
      </c>
      <c r="E99" s="151" t="s">
        <v>17</v>
      </c>
      <c r="F99" s="148" t="s">
        <v>44</v>
      </c>
      <c r="G99" s="1" t="s">
        <v>148</v>
      </c>
      <c r="H99" s="1" t="s">
        <v>156</v>
      </c>
      <c r="I99" s="13"/>
      <c r="J99" s="120">
        <f>J100</f>
        <v>137339</v>
      </c>
      <c r="K99" s="120">
        <f t="shared" ref="K99:L100" si="31">K100</f>
        <v>134673</v>
      </c>
      <c r="L99" s="120">
        <f t="shared" si="31"/>
        <v>140100</v>
      </c>
    </row>
    <row r="100" spans="1:12" ht="25.5">
      <c r="A100" s="7" t="s">
        <v>72</v>
      </c>
      <c r="B100" s="69" t="s">
        <v>42</v>
      </c>
      <c r="C100" s="10" t="s">
        <v>27</v>
      </c>
      <c r="D100" s="10" t="s">
        <v>20</v>
      </c>
      <c r="E100" s="151" t="s">
        <v>17</v>
      </c>
      <c r="F100" s="148" t="s">
        <v>44</v>
      </c>
      <c r="G100" s="1" t="s">
        <v>148</v>
      </c>
      <c r="H100" s="1" t="s">
        <v>156</v>
      </c>
      <c r="I100" s="13" t="s">
        <v>71</v>
      </c>
      <c r="J100" s="120">
        <f>J101</f>
        <v>137339</v>
      </c>
      <c r="K100" s="120">
        <f t="shared" si="31"/>
        <v>134673</v>
      </c>
      <c r="L100" s="120">
        <f t="shared" si="31"/>
        <v>140100</v>
      </c>
    </row>
    <row r="101" spans="1:12">
      <c r="A101" s="11" t="s">
        <v>75</v>
      </c>
      <c r="B101" s="69" t="s">
        <v>42</v>
      </c>
      <c r="C101" s="10" t="s">
        <v>27</v>
      </c>
      <c r="D101" s="10" t="s">
        <v>20</v>
      </c>
      <c r="E101" s="151" t="s">
        <v>17</v>
      </c>
      <c r="F101" s="148" t="s">
        <v>44</v>
      </c>
      <c r="G101" s="1" t="s">
        <v>148</v>
      </c>
      <c r="H101" s="1" t="s">
        <v>156</v>
      </c>
      <c r="I101" s="13" t="s">
        <v>74</v>
      </c>
      <c r="J101" s="120">
        <v>137339</v>
      </c>
      <c r="K101" s="120">
        <v>134673</v>
      </c>
      <c r="L101" s="120">
        <v>140100</v>
      </c>
    </row>
    <row r="102" spans="1:12">
      <c r="A102" s="7"/>
      <c r="B102" s="41"/>
      <c r="C102" s="1"/>
      <c r="D102" s="1"/>
      <c r="E102" s="1"/>
      <c r="F102" s="1"/>
      <c r="G102" s="1"/>
      <c r="H102" s="1"/>
      <c r="I102" s="13"/>
      <c r="J102" s="87"/>
      <c r="K102" s="159"/>
      <c r="L102" s="159"/>
    </row>
    <row r="103" spans="1:12">
      <c r="A103" s="4" t="s">
        <v>50</v>
      </c>
      <c r="B103" s="14" t="s">
        <v>42</v>
      </c>
      <c r="C103" s="15" t="s">
        <v>27</v>
      </c>
      <c r="D103" s="15" t="s">
        <v>16</v>
      </c>
      <c r="E103" s="15"/>
      <c r="F103" s="15"/>
      <c r="G103" s="15"/>
      <c r="H103" s="15"/>
      <c r="I103" s="28"/>
      <c r="J103" s="116">
        <f>J104</f>
        <v>13599704</v>
      </c>
      <c r="K103" s="116">
        <f t="shared" ref="K103:L103" si="32">K104</f>
        <v>13731991.130000001</v>
      </c>
      <c r="L103" s="116">
        <f t="shared" si="32"/>
        <v>13795601.039999999</v>
      </c>
    </row>
    <row r="104" spans="1:12">
      <c r="A104" s="7" t="s">
        <v>83</v>
      </c>
      <c r="B104" s="1" t="s">
        <v>42</v>
      </c>
      <c r="C104" s="1" t="s">
        <v>27</v>
      </c>
      <c r="D104" s="1" t="s">
        <v>16</v>
      </c>
      <c r="E104" s="1" t="s">
        <v>82</v>
      </c>
      <c r="F104" s="1" t="s">
        <v>70</v>
      </c>
      <c r="G104" s="1" t="s">
        <v>148</v>
      </c>
      <c r="H104" s="1" t="s">
        <v>149</v>
      </c>
      <c r="I104" s="13"/>
      <c r="J104" s="117">
        <f>SUM(J105)</f>
        <v>13599704</v>
      </c>
      <c r="K104" s="161">
        <f t="shared" ref="K104:L104" si="33">SUM(K105)</f>
        <v>13731991.130000001</v>
      </c>
      <c r="L104" s="161">
        <f t="shared" si="33"/>
        <v>13795601.039999999</v>
      </c>
    </row>
    <row r="105" spans="1:12" ht="25.5">
      <c r="A105" s="2" t="s">
        <v>87</v>
      </c>
      <c r="B105" s="1" t="s">
        <v>42</v>
      </c>
      <c r="C105" s="1" t="s">
        <v>27</v>
      </c>
      <c r="D105" s="1" t="s">
        <v>16</v>
      </c>
      <c r="E105" s="1" t="s">
        <v>82</v>
      </c>
      <c r="F105" s="1" t="s">
        <v>70</v>
      </c>
      <c r="G105" s="1" t="s">
        <v>148</v>
      </c>
      <c r="H105" s="1" t="s">
        <v>158</v>
      </c>
      <c r="I105" s="13"/>
      <c r="J105" s="87">
        <f>J106+J108+J110</f>
        <v>13599704</v>
      </c>
      <c r="K105" s="159">
        <f t="shared" ref="K105:L105" si="34">K106+K108+K110</f>
        <v>13731991.130000001</v>
      </c>
      <c r="L105" s="159">
        <f t="shared" si="34"/>
        <v>13795601.039999999</v>
      </c>
    </row>
    <row r="106" spans="1:12" ht="38.25">
      <c r="A106" s="81" t="s">
        <v>96</v>
      </c>
      <c r="B106" s="1" t="s">
        <v>42</v>
      </c>
      <c r="C106" s="1" t="s">
        <v>27</v>
      </c>
      <c r="D106" s="1" t="s">
        <v>16</v>
      </c>
      <c r="E106" s="1" t="s">
        <v>82</v>
      </c>
      <c r="F106" s="1" t="s">
        <v>70</v>
      </c>
      <c r="G106" s="1" t="s">
        <v>148</v>
      </c>
      <c r="H106" s="1" t="s">
        <v>158</v>
      </c>
      <c r="I106" s="13" t="s">
        <v>92</v>
      </c>
      <c r="J106" s="87">
        <f>J107</f>
        <v>13422704</v>
      </c>
      <c r="K106" s="159">
        <f t="shared" ref="K106:L106" si="35">K107</f>
        <v>13554991.130000001</v>
      </c>
      <c r="L106" s="159">
        <f t="shared" si="35"/>
        <v>13618601.039999999</v>
      </c>
    </row>
    <row r="107" spans="1:12">
      <c r="A107" s="81" t="s">
        <v>103</v>
      </c>
      <c r="B107" s="1" t="s">
        <v>42</v>
      </c>
      <c r="C107" s="1" t="s">
        <v>27</v>
      </c>
      <c r="D107" s="1" t="s">
        <v>16</v>
      </c>
      <c r="E107" s="1" t="s">
        <v>82</v>
      </c>
      <c r="F107" s="1" t="s">
        <v>70</v>
      </c>
      <c r="G107" s="1" t="s">
        <v>148</v>
      </c>
      <c r="H107" s="1" t="s">
        <v>158</v>
      </c>
      <c r="I107" s="13" t="s">
        <v>102</v>
      </c>
      <c r="J107" s="87">
        <v>13422704</v>
      </c>
      <c r="K107" s="159">
        <v>13554991.130000001</v>
      </c>
      <c r="L107" s="159">
        <v>13618601.039999999</v>
      </c>
    </row>
    <row r="108" spans="1:12" ht="25.5">
      <c r="A108" s="157" t="s">
        <v>260</v>
      </c>
      <c r="B108" s="1" t="s">
        <v>42</v>
      </c>
      <c r="C108" s="1" t="s">
        <v>27</v>
      </c>
      <c r="D108" s="1" t="s">
        <v>16</v>
      </c>
      <c r="E108" s="1" t="s">
        <v>82</v>
      </c>
      <c r="F108" s="1" t="s">
        <v>70</v>
      </c>
      <c r="G108" s="1" t="s">
        <v>148</v>
      </c>
      <c r="H108" s="1" t="s">
        <v>158</v>
      </c>
      <c r="I108" s="13" t="s">
        <v>94</v>
      </c>
      <c r="J108" s="87">
        <f>J109</f>
        <v>172000</v>
      </c>
      <c r="K108" s="159">
        <f t="shared" ref="K108:L108" si="36">K109</f>
        <v>172000</v>
      </c>
      <c r="L108" s="159">
        <f t="shared" si="36"/>
        <v>172000</v>
      </c>
    </row>
    <row r="109" spans="1:12" s="147" customFormat="1" ht="25.5">
      <c r="A109" s="81" t="s">
        <v>98</v>
      </c>
      <c r="B109" s="1" t="s">
        <v>42</v>
      </c>
      <c r="C109" s="1" t="s">
        <v>27</v>
      </c>
      <c r="D109" s="1" t="s">
        <v>16</v>
      </c>
      <c r="E109" s="1" t="s">
        <v>82</v>
      </c>
      <c r="F109" s="1" t="s">
        <v>70</v>
      </c>
      <c r="G109" s="1" t="s">
        <v>148</v>
      </c>
      <c r="H109" s="1" t="s">
        <v>158</v>
      </c>
      <c r="I109" s="13" t="s">
        <v>95</v>
      </c>
      <c r="J109" s="87">
        <v>172000</v>
      </c>
      <c r="K109" s="159">
        <v>172000</v>
      </c>
      <c r="L109" s="159">
        <v>172000</v>
      </c>
    </row>
    <row r="110" spans="1:12" s="147" customFormat="1">
      <c r="A110" s="156" t="s">
        <v>80</v>
      </c>
      <c r="B110" s="148" t="s">
        <v>42</v>
      </c>
      <c r="C110" s="148" t="s">
        <v>27</v>
      </c>
      <c r="D110" s="148" t="s">
        <v>16</v>
      </c>
      <c r="E110" s="148" t="s">
        <v>82</v>
      </c>
      <c r="F110" s="148" t="s">
        <v>70</v>
      </c>
      <c r="G110" s="148" t="s">
        <v>148</v>
      </c>
      <c r="H110" s="148" t="s">
        <v>158</v>
      </c>
      <c r="I110" s="146" t="s">
        <v>77</v>
      </c>
      <c r="J110" s="159">
        <f>J111</f>
        <v>5000</v>
      </c>
      <c r="K110" s="159">
        <f t="shared" ref="K110:L110" si="37">K111</f>
        <v>5000</v>
      </c>
      <c r="L110" s="159">
        <f t="shared" si="37"/>
        <v>5000</v>
      </c>
    </row>
    <row r="111" spans="1:12">
      <c r="A111" s="158" t="s">
        <v>125</v>
      </c>
      <c r="B111" s="148" t="s">
        <v>42</v>
      </c>
      <c r="C111" s="148" t="s">
        <v>27</v>
      </c>
      <c r="D111" s="148" t="s">
        <v>16</v>
      </c>
      <c r="E111" s="148" t="s">
        <v>82</v>
      </c>
      <c r="F111" s="148" t="s">
        <v>70</v>
      </c>
      <c r="G111" s="148" t="s">
        <v>148</v>
      </c>
      <c r="H111" s="148" t="s">
        <v>158</v>
      </c>
      <c r="I111" s="146" t="s">
        <v>124</v>
      </c>
      <c r="J111" s="159">
        <v>5000</v>
      </c>
      <c r="K111" s="159">
        <v>5000</v>
      </c>
      <c r="L111" s="159">
        <v>5000</v>
      </c>
    </row>
    <row r="112" spans="1:12">
      <c r="A112" s="11"/>
      <c r="B112" s="50"/>
      <c r="C112" s="1"/>
      <c r="D112" s="1"/>
      <c r="E112" s="1"/>
      <c r="F112" s="1"/>
      <c r="G112" s="1"/>
      <c r="H112" s="1"/>
      <c r="I112" s="13"/>
      <c r="J112" s="87"/>
      <c r="K112" s="159"/>
      <c r="L112" s="159"/>
    </row>
    <row r="113" spans="1:12" s="200" customFormat="1" ht="15.75">
      <c r="A113" s="26" t="s">
        <v>5</v>
      </c>
      <c r="B113" s="197" t="s">
        <v>42</v>
      </c>
      <c r="C113" s="29" t="s">
        <v>30</v>
      </c>
      <c r="D113" s="29"/>
      <c r="E113" s="29"/>
      <c r="F113" s="29"/>
      <c r="G113" s="29"/>
      <c r="H113" s="29"/>
      <c r="I113" s="198"/>
      <c r="J113" s="199">
        <f>J114</f>
        <v>250000</v>
      </c>
      <c r="K113" s="199">
        <f t="shared" ref="K113:L117" si="38">K114</f>
        <v>250000</v>
      </c>
      <c r="L113" s="199">
        <f t="shared" si="38"/>
        <v>250000</v>
      </c>
    </row>
    <row r="114" spans="1:12" s="207" customFormat="1">
      <c r="A114" s="4" t="s">
        <v>21</v>
      </c>
      <c r="B114" s="204" t="s">
        <v>42</v>
      </c>
      <c r="C114" s="59" t="s">
        <v>30</v>
      </c>
      <c r="D114" s="59" t="s">
        <v>16</v>
      </c>
      <c r="E114" s="59"/>
      <c r="F114" s="59"/>
      <c r="G114" s="59"/>
      <c r="H114" s="59"/>
      <c r="I114" s="205"/>
      <c r="J114" s="206">
        <f>J115</f>
        <v>250000</v>
      </c>
      <c r="K114" s="206">
        <f t="shared" si="38"/>
        <v>250000</v>
      </c>
      <c r="L114" s="206">
        <f t="shared" si="38"/>
        <v>250000</v>
      </c>
    </row>
    <row r="115" spans="1:12" s="203" customFormat="1" ht="38.25">
      <c r="A115" s="149" t="s">
        <v>321</v>
      </c>
      <c r="B115" s="201" t="s">
        <v>42</v>
      </c>
      <c r="C115" s="3" t="s">
        <v>30</v>
      </c>
      <c r="D115" s="3" t="s">
        <v>16</v>
      </c>
      <c r="E115" s="3" t="s">
        <v>319</v>
      </c>
      <c r="F115" s="3" t="s">
        <v>70</v>
      </c>
      <c r="G115" s="3" t="s">
        <v>148</v>
      </c>
      <c r="H115" s="3" t="s">
        <v>149</v>
      </c>
      <c r="I115" s="16"/>
      <c r="J115" s="202">
        <f>J116</f>
        <v>250000</v>
      </c>
      <c r="K115" s="202">
        <f t="shared" si="38"/>
        <v>250000</v>
      </c>
      <c r="L115" s="202">
        <f t="shared" si="38"/>
        <v>250000</v>
      </c>
    </row>
    <row r="116" spans="1:12" s="203" customFormat="1">
      <c r="A116" s="149" t="s">
        <v>322</v>
      </c>
      <c r="B116" s="201" t="s">
        <v>42</v>
      </c>
      <c r="C116" s="3" t="s">
        <v>30</v>
      </c>
      <c r="D116" s="3" t="s">
        <v>16</v>
      </c>
      <c r="E116" s="3" t="s">
        <v>319</v>
      </c>
      <c r="F116" s="3" t="s">
        <v>70</v>
      </c>
      <c r="G116" s="3" t="s">
        <v>148</v>
      </c>
      <c r="H116" s="3" t="s">
        <v>320</v>
      </c>
      <c r="I116" s="16"/>
      <c r="J116" s="202">
        <f>J117</f>
        <v>250000</v>
      </c>
      <c r="K116" s="202">
        <f t="shared" si="38"/>
        <v>250000</v>
      </c>
      <c r="L116" s="202">
        <f t="shared" si="38"/>
        <v>250000</v>
      </c>
    </row>
    <row r="117" spans="1:12" s="203" customFormat="1">
      <c r="A117" s="149" t="s">
        <v>100</v>
      </c>
      <c r="B117" s="201" t="s">
        <v>42</v>
      </c>
      <c r="C117" s="3" t="s">
        <v>30</v>
      </c>
      <c r="D117" s="3" t="s">
        <v>16</v>
      </c>
      <c r="E117" s="3" t="s">
        <v>319</v>
      </c>
      <c r="F117" s="3" t="s">
        <v>70</v>
      </c>
      <c r="G117" s="3" t="s">
        <v>148</v>
      </c>
      <c r="H117" s="3" t="s">
        <v>320</v>
      </c>
      <c r="I117" s="16" t="s">
        <v>99</v>
      </c>
      <c r="J117" s="202">
        <f>J118</f>
        <v>250000</v>
      </c>
      <c r="K117" s="202">
        <f t="shared" si="38"/>
        <v>250000</v>
      </c>
      <c r="L117" s="202">
        <f t="shared" si="38"/>
        <v>250000</v>
      </c>
    </row>
    <row r="118" spans="1:12" s="203" customFormat="1" ht="25.5">
      <c r="A118" s="149" t="s">
        <v>106</v>
      </c>
      <c r="B118" s="201" t="s">
        <v>42</v>
      </c>
      <c r="C118" s="3" t="s">
        <v>30</v>
      </c>
      <c r="D118" s="3" t="s">
        <v>16</v>
      </c>
      <c r="E118" s="3" t="s">
        <v>319</v>
      </c>
      <c r="F118" s="3" t="s">
        <v>70</v>
      </c>
      <c r="G118" s="3" t="s">
        <v>148</v>
      </c>
      <c r="H118" s="3" t="s">
        <v>320</v>
      </c>
      <c r="I118" s="16" t="s">
        <v>107</v>
      </c>
      <c r="J118" s="202">
        <v>250000</v>
      </c>
      <c r="K118" s="202">
        <v>250000</v>
      </c>
      <c r="L118" s="202">
        <v>250000</v>
      </c>
    </row>
    <row r="119" spans="1:12" s="147" customFormat="1">
      <c r="A119" s="152"/>
      <c r="B119" s="50"/>
      <c r="C119" s="148"/>
      <c r="D119" s="148"/>
      <c r="E119" s="148"/>
      <c r="F119" s="148"/>
      <c r="G119" s="148"/>
      <c r="H119" s="148"/>
      <c r="I119" s="146"/>
      <c r="J119" s="159"/>
      <c r="K119" s="159"/>
      <c r="L119" s="159"/>
    </row>
    <row r="120" spans="1:12" ht="15.75">
      <c r="A120" s="35" t="s">
        <v>4</v>
      </c>
      <c r="B120" s="31" t="s">
        <v>42</v>
      </c>
      <c r="C120" s="31" t="s">
        <v>19</v>
      </c>
      <c r="D120" s="1"/>
      <c r="E120" s="1"/>
      <c r="F120" s="1"/>
      <c r="G120" s="1"/>
      <c r="H120" s="1"/>
      <c r="I120" s="13"/>
      <c r="J120" s="115">
        <f>J121</f>
        <v>760000</v>
      </c>
      <c r="K120" s="115">
        <f t="shared" ref="K120:L121" si="39">K121</f>
        <v>760000</v>
      </c>
      <c r="L120" s="115">
        <f t="shared" si="39"/>
        <v>760000</v>
      </c>
    </row>
    <row r="121" spans="1:12">
      <c r="A121" s="25" t="s">
        <v>51</v>
      </c>
      <c r="B121" s="14" t="s">
        <v>42</v>
      </c>
      <c r="C121" s="14" t="s">
        <v>19</v>
      </c>
      <c r="D121" s="14" t="s">
        <v>20</v>
      </c>
      <c r="E121" s="14"/>
      <c r="F121" s="14"/>
      <c r="G121" s="14"/>
      <c r="H121" s="14"/>
      <c r="I121" s="30"/>
      <c r="J121" s="116">
        <f>J122</f>
        <v>760000</v>
      </c>
      <c r="K121" s="116">
        <f t="shared" si="39"/>
        <v>760000</v>
      </c>
      <c r="L121" s="116">
        <f t="shared" si="39"/>
        <v>760000</v>
      </c>
    </row>
    <row r="122" spans="1:12" ht="38.25">
      <c r="A122" s="149" t="s">
        <v>284</v>
      </c>
      <c r="B122" s="1" t="s">
        <v>42</v>
      </c>
      <c r="C122" s="1" t="s">
        <v>19</v>
      </c>
      <c r="D122" s="1" t="s">
        <v>20</v>
      </c>
      <c r="E122" s="1" t="s">
        <v>2</v>
      </c>
      <c r="F122" s="1" t="s">
        <v>70</v>
      </c>
      <c r="G122" s="1" t="s">
        <v>148</v>
      </c>
      <c r="H122" s="1" t="s">
        <v>149</v>
      </c>
      <c r="I122" s="13"/>
      <c r="J122" s="87">
        <f>J123+J128</f>
        <v>760000</v>
      </c>
      <c r="K122" s="159">
        <f t="shared" ref="K122:L122" si="40">K123+K128</f>
        <v>760000</v>
      </c>
      <c r="L122" s="159">
        <f t="shared" si="40"/>
        <v>760000</v>
      </c>
    </row>
    <row r="123" spans="1:12">
      <c r="A123" s="2" t="s">
        <v>382</v>
      </c>
      <c r="B123" s="1" t="s">
        <v>42</v>
      </c>
      <c r="C123" s="1" t="s">
        <v>19</v>
      </c>
      <c r="D123" s="1" t="s">
        <v>20</v>
      </c>
      <c r="E123" s="1" t="s">
        <v>2</v>
      </c>
      <c r="F123" s="1" t="s">
        <v>70</v>
      </c>
      <c r="G123" s="1" t="s">
        <v>148</v>
      </c>
      <c r="H123" s="1" t="s">
        <v>159</v>
      </c>
      <c r="I123" s="13"/>
      <c r="J123" s="87">
        <f>J124+J126</f>
        <v>590000</v>
      </c>
      <c r="K123" s="159">
        <f t="shared" ref="K123:L123" si="41">K124+K126</f>
        <v>590000</v>
      </c>
      <c r="L123" s="159">
        <f t="shared" si="41"/>
        <v>590000</v>
      </c>
    </row>
    <row r="124" spans="1:12" ht="25.5">
      <c r="A124" s="157" t="s">
        <v>260</v>
      </c>
      <c r="B124" s="1" t="s">
        <v>42</v>
      </c>
      <c r="C124" s="1" t="s">
        <v>19</v>
      </c>
      <c r="D124" s="1" t="s">
        <v>20</v>
      </c>
      <c r="E124" s="1" t="s">
        <v>2</v>
      </c>
      <c r="F124" s="1" t="s">
        <v>70</v>
      </c>
      <c r="G124" s="1" t="s">
        <v>148</v>
      </c>
      <c r="H124" s="1" t="s">
        <v>159</v>
      </c>
      <c r="I124" s="13" t="s">
        <v>94</v>
      </c>
      <c r="J124" s="87">
        <f>J125</f>
        <v>560000</v>
      </c>
      <c r="K124" s="159">
        <f t="shared" ref="K124:L124" si="42">K125</f>
        <v>560000</v>
      </c>
      <c r="L124" s="159">
        <f t="shared" si="42"/>
        <v>560000</v>
      </c>
    </row>
    <row r="125" spans="1:12" s="147" customFormat="1" ht="25.5">
      <c r="A125" s="81" t="s">
        <v>98</v>
      </c>
      <c r="B125" s="1" t="s">
        <v>42</v>
      </c>
      <c r="C125" s="1" t="s">
        <v>19</v>
      </c>
      <c r="D125" s="1" t="s">
        <v>20</v>
      </c>
      <c r="E125" s="1" t="s">
        <v>2</v>
      </c>
      <c r="F125" s="1" t="s">
        <v>70</v>
      </c>
      <c r="G125" s="1" t="s">
        <v>148</v>
      </c>
      <c r="H125" s="1" t="s">
        <v>159</v>
      </c>
      <c r="I125" s="13" t="s">
        <v>95</v>
      </c>
      <c r="J125" s="87">
        <v>560000</v>
      </c>
      <c r="K125" s="159">
        <v>560000</v>
      </c>
      <c r="L125" s="159">
        <v>560000</v>
      </c>
    </row>
    <row r="126" spans="1:12" s="147" customFormat="1">
      <c r="A126" s="9" t="s">
        <v>100</v>
      </c>
      <c r="B126" s="148" t="s">
        <v>42</v>
      </c>
      <c r="C126" s="148" t="s">
        <v>19</v>
      </c>
      <c r="D126" s="148" t="s">
        <v>20</v>
      </c>
      <c r="E126" s="148" t="s">
        <v>2</v>
      </c>
      <c r="F126" s="148" t="s">
        <v>70</v>
      </c>
      <c r="G126" s="148" t="s">
        <v>148</v>
      </c>
      <c r="H126" s="148" t="s">
        <v>159</v>
      </c>
      <c r="I126" s="146" t="s">
        <v>99</v>
      </c>
      <c r="J126" s="159">
        <f>J127</f>
        <v>30000</v>
      </c>
      <c r="K126" s="159">
        <f t="shared" ref="K126:L126" si="43">K127</f>
        <v>30000</v>
      </c>
      <c r="L126" s="159">
        <f t="shared" si="43"/>
        <v>30000</v>
      </c>
    </row>
    <row r="127" spans="1:12" ht="14.25" customHeight="1">
      <c r="A127" s="141" t="s">
        <v>223</v>
      </c>
      <c r="B127" s="148" t="s">
        <v>42</v>
      </c>
      <c r="C127" s="148" t="s">
        <v>19</v>
      </c>
      <c r="D127" s="148" t="s">
        <v>20</v>
      </c>
      <c r="E127" s="148" t="s">
        <v>2</v>
      </c>
      <c r="F127" s="148" t="s">
        <v>70</v>
      </c>
      <c r="G127" s="148" t="s">
        <v>148</v>
      </c>
      <c r="H127" s="148" t="s">
        <v>159</v>
      </c>
      <c r="I127" s="146" t="s">
        <v>222</v>
      </c>
      <c r="J127" s="159">
        <v>30000</v>
      </c>
      <c r="K127" s="159">
        <v>30000</v>
      </c>
      <c r="L127" s="159">
        <v>30000</v>
      </c>
    </row>
    <row r="128" spans="1:12">
      <c r="A128" s="2" t="s">
        <v>137</v>
      </c>
      <c r="B128" s="1" t="s">
        <v>42</v>
      </c>
      <c r="C128" s="1" t="s">
        <v>19</v>
      </c>
      <c r="D128" s="1" t="s">
        <v>20</v>
      </c>
      <c r="E128" s="1" t="s">
        <v>2</v>
      </c>
      <c r="F128" s="1" t="s">
        <v>70</v>
      </c>
      <c r="G128" s="1" t="s">
        <v>148</v>
      </c>
      <c r="H128" s="1" t="s">
        <v>160</v>
      </c>
      <c r="I128" s="13"/>
      <c r="J128" s="87">
        <f>J129+J131</f>
        <v>170000</v>
      </c>
      <c r="K128" s="159">
        <f t="shared" ref="K128:L128" si="44">K129+K131</f>
        <v>170000</v>
      </c>
      <c r="L128" s="159">
        <f t="shared" si="44"/>
        <v>170000</v>
      </c>
    </row>
    <row r="129" spans="1:12" ht="25.5">
      <c r="A129" s="157" t="s">
        <v>260</v>
      </c>
      <c r="B129" s="1" t="s">
        <v>42</v>
      </c>
      <c r="C129" s="1" t="s">
        <v>19</v>
      </c>
      <c r="D129" s="1" t="s">
        <v>20</v>
      </c>
      <c r="E129" s="1" t="s">
        <v>2</v>
      </c>
      <c r="F129" s="1" t="s">
        <v>70</v>
      </c>
      <c r="G129" s="1" t="s">
        <v>148</v>
      </c>
      <c r="H129" s="1" t="s">
        <v>160</v>
      </c>
      <c r="I129" s="13" t="s">
        <v>94</v>
      </c>
      <c r="J129" s="87">
        <f>J130</f>
        <v>120000</v>
      </c>
      <c r="K129" s="159">
        <f t="shared" ref="K129:L129" si="45">K130</f>
        <v>120000</v>
      </c>
      <c r="L129" s="159">
        <f t="shared" si="45"/>
        <v>120000</v>
      </c>
    </row>
    <row r="130" spans="1:12" s="147" customFormat="1" ht="25.5">
      <c r="A130" s="81" t="s">
        <v>98</v>
      </c>
      <c r="B130" s="1" t="s">
        <v>42</v>
      </c>
      <c r="C130" s="1" t="s">
        <v>19</v>
      </c>
      <c r="D130" s="1" t="s">
        <v>20</v>
      </c>
      <c r="E130" s="1" t="s">
        <v>2</v>
      </c>
      <c r="F130" s="1" t="s">
        <v>70</v>
      </c>
      <c r="G130" s="1" t="s">
        <v>148</v>
      </c>
      <c r="H130" s="1" t="s">
        <v>160</v>
      </c>
      <c r="I130" s="13" t="s">
        <v>95</v>
      </c>
      <c r="J130" s="87">
        <v>120000</v>
      </c>
      <c r="K130" s="159">
        <v>120000</v>
      </c>
      <c r="L130" s="159">
        <v>120000</v>
      </c>
    </row>
    <row r="131" spans="1:12" s="147" customFormat="1">
      <c r="A131" s="9" t="s">
        <v>100</v>
      </c>
      <c r="B131" s="148" t="s">
        <v>42</v>
      </c>
      <c r="C131" s="148" t="s">
        <v>19</v>
      </c>
      <c r="D131" s="148" t="s">
        <v>20</v>
      </c>
      <c r="E131" s="148" t="s">
        <v>2</v>
      </c>
      <c r="F131" s="148" t="s">
        <v>70</v>
      </c>
      <c r="G131" s="148" t="s">
        <v>148</v>
      </c>
      <c r="H131" s="148" t="s">
        <v>160</v>
      </c>
      <c r="I131" s="146" t="s">
        <v>99</v>
      </c>
      <c r="J131" s="159">
        <f>J132</f>
        <v>50000</v>
      </c>
      <c r="K131" s="159">
        <f t="shared" ref="K131:L131" si="46">K132</f>
        <v>50000</v>
      </c>
      <c r="L131" s="159">
        <f t="shared" si="46"/>
        <v>50000</v>
      </c>
    </row>
    <row r="132" spans="1:12">
      <c r="A132" s="141" t="s">
        <v>223</v>
      </c>
      <c r="B132" s="148" t="s">
        <v>42</v>
      </c>
      <c r="C132" s="148" t="s">
        <v>19</v>
      </c>
      <c r="D132" s="148" t="s">
        <v>20</v>
      </c>
      <c r="E132" s="148" t="s">
        <v>2</v>
      </c>
      <c r="F132" s="148" t="s">
        <v>70</v>
      </c>
      <c r="G132" s="148" t="s">
        <v>148</v>
      </c>
      <c r="H132" s="148" t="s">
        <v>160</v>
      </c>
      <c r="I132" s="146" t="s">
        <v>222</v>
      </c>
      <c r="J132" s="159">
        <v>50000</v>
      </c>
      <c r="K132" s="159">
        <v>50000</v>
      </c>
      <c r="L132" s="159">
        <v>50000</v>
      </c>
    </row>
    <row r="133" spans="1:12">
      <c r="A133" s="81"/>
      <c r="B133" s="1"/>
      <c r="C133" s="1"/>
      <c r="D133" s="1"/>
      <c r="E133" s="1"/>
      <c r="F133" s="1"/>
      <c r="G133" s="1"/>
      <c r="H133" s="1"/>
      <c r="I133" s="13"/>
      <c r="J133" s="87"/>
      <c r="K133" s="159"/>
      <c r="L133" s="159"/>
    </row>
    <row r="134" spans="1:12" ht="25.5">
      <c r="A134" s="49" t="s">
        <v>407</v>
      </c>
      <c r="B134" s="48" t="s">
        <v>41</v>
      </c>
      <c r="C134" s="46"/>
      <c r="D134" s="46"/>
      <c r="E134" s="46"/>
      <c r="F134" s="46"/>
      <c r="G134" s="46"/>
      <c r="H134" s="47"/>
      <c r="I134" s="45"/>
      <c r="J134" s="114">
        <f>J135+J262</f>
        <v>460910544.26000005</v>
      </c>
      <c r="K134" s="114">
        <f>K135+K262</f>
        <v>448643638.92000002</v>
      </c>
      <c r="L134" s="114">
        <f>L135+L262</f>
        <v>456413249.13000005</v>
      </c>
    </row>
    <row r="135" spans="1:12" ht="15.75">
      <c r="A135" s="26" t="s">
        <v>24</v>
      </c>
      <c r="B135" s="31" t="s">
        <v>41</v>
      </c>
      <c r="C135" s="31" t="s">
        <v>2</v>
      </c>
      <c r="D135" s="32"/>
      <c r="E135" s="32"/>
      <c r="F135" s="32"/>
      <c r="G135" s="32"/>
      <c r="H135" s="32"/>
      <c r="I135" s="33"/>
      <c r="J135" s="115">
        <f>J136+J152+J185+J216+J235</f>
        <v>450870261.85000002</v>
      </c>
      <c r="K135" s="115">
        <f>K136+K152+K185+K216+K235</f>
        <v>438599534.38</v>
      </c>
      <c r="L135" s="115">
        <f>L136+L152+L185+L216+L235</f>
        <v>446088779.53000003</v>
      </c>
    </row>
    <row r="136" spans="1:12">
      <c r="A136" s="4" t="s">
        <v>8</v>
      </c>
      <c r="B136" s="14" t="s">
        <v>41</v>
      </c>
      <c r="C136" s="14" t="s">
        <v>2</v>
      </c>
      <c r="D136" s="14" t="s">
        <v>20</v>
      </c>
      <c r="E136" s="14"/>
      <c r="F136" s="14"/>
      <c r="G136" s="14"/>
      <c r="H136" s="14"/>
      <c r="I136" s="30"/>
      <c r="J136" s="116">
        <f>J137</f>
        <v>92670235</v>
      </c>
      <c r="K136" s="116">
        <f t="shared" ref="K136:L137" si="47">K137</f>
        <v>91030997.620000005</v>
      </c>
      <c r="L136" s="116">
        <f t="shared" si="47"/>
        <v>90712509.200000003</v>
      </c>
    </row>
    <row r="137" spans="1:12" ht="25.5">
      <c r="A137" s="149" t="s">
        <v>285</v>
      </c>
      <c r="B137" s="69" t="s">
        <v>41</v>
      </c>
      <c r="C137" s="69" t="s">
        <v>2</v>
      </c>
      <c r="D137" s="69" t="s">
        <v>20</v>
      </c>
      <c r="E137" s="69" t="s">
        <v>20</v>
      </c>
      <c r="F137" s="69" t="s">
        <v>70</v>
      </c>
      <c r="G137" s="69" t="s">
        <v>148</v>
      </c>
      <c r="H137" s="69" t="s">
        <v>149</v>
      </c>
      <c r="I137" s="99"/>
      <c r="J137" s="120">
        <f>J138</f>
        <v>92670235</v>
      </c>
      <c r="K137" s="120">
        <f t="shared" si="47"/>
        <v>91030997.620000005</v>
      </c>
      <c r="L137" s="120">
        <f t="shared" si="47"/>
        <v>90712509.200000003</v>
      </c>
    </row>
    <row r="138" spans="1:12" ht="25.5">
      <c r="A138" s="2" t="s">
        <v>139</v>
      </c>
      <c r="B138" s="69" t="s">
        <v>41</v>
      </c>
      <c r="C138" s="69" t="s">
        <v>2</v>
      </c>
      <c r="D138" s="69" t="s">
        <v>20</v>
      </c>
      <c r="E138" s="69" t="s">
        <v>20</v>
      </c>
      <c r="F138" s="69" t="s">
        <v>127</v>
      </c>
      <c r="G138" s="69" t="s">
        <v>148</v>
      </c>
      <c r="H138" s="69" t="s">
        <v>149</v>
      </c>
      <c r="I138" s="99"/>
      <c r="J138" s="120">
        <f>J139+J145+J142+J148</f>
        <v>92670235</v>
      </c>
      <c r="K138" s="120">
        <f t="shared" ref="K138:L138" si="48">K139+K145+K142+K148</f>
        <v>91030997.620000005</v>
      </c>
      <c r="L138" s="120">
        <f t="shared" si="48"/>
        <v>90712509.200000003</v>
      </c>
    </row>
    <row r="139" spans="1:12" ht="25.5">
      <c r="A139" s="2" t="s">
        <v>140</v>
      </c>
      <c r="B139" s="69" t="s">
        <v>41</v>
      </c>
      <c r="C139" s="69" t="s">
        <v>2</v>
      </c>
      <c r="D139" s="69" t="s">
        <v>20</v>
      </c>
      <c r="E139" s="69" t="s">
        <v>20</v>
      </c>
      <c r="F139" s="69" t="s">
        <v>127</v>
      </c>
      <c r="G139" s="69" t="s">
        <v>148</v>
      </c>
      <c r="H139" s="69" t="s">
        <v>161</v>
      </c>
      <c r="I139" s="99"/>
      <c r="J139" s="120">
        <f>J140</f>
        <v>38975181</v>
      </c>
      <c r="K139" s="120">
        <f t="shared" ref="K139:L140" si="49">K140</f>
        <v>39555634.619999997</v>
      </c>
      <c r="L139" s="120">
        <f t="shared" si="49"/>
        <v>37409246.200000003</v>
      </c>
    </row>
    <row r="140" spans="1:12" ht="25.5">
      <c r="A140" s="7" t="s">
        <v>72</v>
      </c>
      <c r="B140" s="69" t="s">
        <v>41</v>
      </c>
      <c r="C140" s="69" t="s">
        <v>2</v>
      </c>
      <c r="D140" s="69" t="s">
        <v>20</v>
      </c>
      <c r="E140" s="69" t="s">
        <v>20</v>
      </c>
      <c r="F140" s="69" t="s">
        <v>127</v>
      </c>
      <c r="G140" s="69" t="s">
        <v>148</v>
      </c>
      <c r="H140" s="69" t="s">
        <v>161</v>
      </c>
      <c r="I140" s="99" t="s">
        <v>71</v>
      </c>
      <c r="J140" s="120">
        <f>J141</f>
        <v>38975181</v>
      </c>
      <c r="K140" s="120">
        <f t="shared" si="49"/>
        <v>39555634.619999997</v>
      </c>
      <c r="L140" s="120">
        <f t="shared" si="49"/>
        <v>37409246.200000003</v>
      </c>
    </row>
    <row r="141" spans="1:12" s="147" customFormat="1">
      <c r="A141" s="11" t="s">
        <v>75</v>
      </c>
      <c r="B141" s="69" t="s">
        <v>41</v>
      </c>
      <c r="C141" s="69" t="s">
        <v>2</v>
      </c>
      <c r="D141" s="69" t="s">
        <v>20</v>
      </c>
      <c r="E141" s="69" t="s">
        <v>20</v>
      </c>
      <c r="F141" s="69" t="s">
        <v>127</v>
      </c>
      <c r="G141" s="69" t="s">
        <v>148</v>
      </c>
      <c r="H141" s="69" t="s">
        <v>161</v>
      </c>
      <c r="I141" s="99" t="s">
        <v>74</v>
      </c>
      <c r="J141" s="120">
        <f>38075181+900000</f>
        <v>38975181</v>
      </c>
      <c r="K141" s="120">
        <f>38655634.62+900000</f>
        <v>39555634.619999997</v>
      </c>
      <c r="L141" s="120">
        <f>36909246.2+500000</f>
        <v>37409246.200000003</v>
      </c>
    </row>
    <row r="142" spans="1:12" s="147" customFormat="1" ht="25.5">
      <c r="A142" s="149" t="s">
        <v>377</v>
      </c>
      <c r="B142" s="69" t="s">
        <v>41</v>
      </c>
      <c r="C142" s="69" t="s">
        <v>2</v>
      </c>
      <c r="D142" s="69" t="s">
        <v>20</v>
      </c>
      <c r="E142" s="69" t="s">
        <v>20</v>
      </c>
      <c r="F142" s="69" t="s">
        <v>127</v>
      </c>
      <c r="G142" s="69" t="s">
        <v>148</v>
      </c>
      <c r="H142" s="160" t="s">
        <v>226</v>
      </c>
      <c r="I142" s="162"/>
      <c r="J142" s="120">
        <f>J143</f>
        <v>500000</v>
      </c>
      <c r="K142" s="120">
        <f t="shared" ref="K142:L143" si="50">K143</f>
        <v>500000</v>
      </c>
      <c r="L142" s="120">
        <f t="shared" si="50"/>
        <v>300000</v>
      </c>
    </row>
    <row r="143" spans="1:12" s="147" customFormat="1" ht="25.5">
      <c r="A143" s="150" t="s">
        <v>72</v>
      </c>
      <c r="B143" s="69" t="s">
        <v>41</v>
      </c>
      <c r="C143" s="69" t="s">
        <v>2</v>
      </c>
      <c r="D143" s="69" t="s">
        <v>20</v>
      </c>
      <c r="E143" s="69" t="s">
        <v>20</v>
      </c>
      <c r="F143" s="69" t="s">
        <v>127</v>
      </c>
      <c r="G143" s="69" t="s">
        <v>148</v>
      </c>
      <c r="H143" s="160" t="s">
        <v>226</v>
      </c>
      <c r="I143" s="162" t="s">
        <v>71</v>
      </c>
      <c r="J143" s="120">
        <f>J144</f>
        <v>500000</v>
      </c>
      <c r="K143" s="120">
        <f t="shared" si="50"/>
        <v>500000</v>
      </c>
      <c r="L143" s="120">
        <f t="shared" si="50"/>
        <v>300000</v>
      </c>
    </row>
    <row r="144" spans="1:12">
      <c r="A144" s="152" t="s">
        <v>75</v>
      </c>
      <c r="B144" s="69" t="s">
        <v>41</v>
      </c>
      <c r="C144" s="69" t="s">
        <v>2</v>
      </c>
      <c r="D144" s="69" t="s">
        <v>20</v>
      </c>
      <c r="E144" s="69" t="s">
        <v>20</v>
      </c>
      <c r="F144" s="69" t="s">
        <v>127</v>
      </c>
      <c r="G144" s="69" t="s">
        <v>148</v>
      </c>
      <c r="H144" s="160" t="s">
        <v>226</v>
      </c>
      <c r="I144" s="162" t="s">
        <v>74</v>
      </c>
      <c r="J144" s="120">
        <v>500000</v>
      </c>
      <c r="K144" s="120">
        <v>500000</v>
      </c>
      <c r="L144" s="120">
        <v>300000</v>
      </c>
    </row>
    <row r="145" spans="1:12" ht="63.75">
      <c r="A145" s="152" t="s">
        <v>313</v>
      </c>
      <c r="B145" s="69" t="s">
        <v>41</v>
      </c>
      <c r="C145" s="69" t="s">
        <v>2</v>
      </c>
      <c r="D145" s="69" t="s">
        <v>20</v>
      </c>
      <c r="E145" s="69" t="s">
        <v>20</v>
      </c>
      <c r="F145" s="69" t="s">
        <v>127</v>
      </c>
      <c r="G145" s="69" t="s">
        <v>148</v>
      </c>
      <c r="H145" s="92" t="s">
        <v>206</v>
      </c>
      <c r="I145" s="99"/>
      <c r="J145" s="120">
        <f>J146</f>
        <v>2037668</v>
      </c>
      <c r="K145" s="120">
        <f t="shared" ref="K145:L146" si="51">K146</f>
        <v>2119174</v>
      </c>
      <c r="L145" s="120">
        <f t="shared" si="51"/>
        <v>2401680</v>
      </c>
    </row>
    <row r="146" spans="1:12" ht="25.5">
      <c r="A146" s="7" t="s">
        <v>72</v>
      </c>
      <c r="B146" s="69" t="s">
        <v>41</v>
      </c>
      <c r="C146" s="69" t="s">
        <v>2</v>
      </c>
      <c r="D146" s="69" t="s">
        <v>20</v>
      </c>
      <c r="E146" s="69" t="s">
        <v>20</v>
      </c>
      <c r="F146" s="69" t="s">
        <v>127</v>
      </c>
      <c r="G146" s="69" t="s">
        <v>148</v>
      </c>
      <c r="H146" s="92" t="s">
        <v>206</v>
      </c>
      <c r="I146" s="133" t="s">
        <v>71</v>
      </c>
      <c r="J146" s="120">
        <f>J147</f>
        <v>2037668</v>
      </c>
      <c r="K146" s="120">
        <f t="shared" si="51"/>
        <v>2119174</v>
      </c>
      <c r="L146" s="120">
        <f t="shared" si="51"/>
        <v>2401680</v>
      </c>
    </row>
    <row r="147" spans="1:12" s="147" customFormat="1">
      <c r="A147" s="11" t="s">
        <v>75</v>
      </c>
      <c r="B147" s="69" t="s">
        <v>41</v>
      </c>
      <c r="C147" s="69" t="s">
        <v>2</v>
      </c>
      <c r="D147" s="69" t="s">
        <v>20</v>
      </c>
      <c r="E147" s="69" t="s">
        <v>20</v>
      </c>
      <c r="F147" s="69" t="s">
        <v>127</v>
      </c>
      <c r="G147" s="69" t="s">
        <v>148</v>
      </c>
      <c r="H147" s="92" t="s">
        <v>206</v>
      </c>
      <c r="I147" s="133" t="s">
        <v>74</v>
      </c>
      <c r="J147" s="120">
        <v>2037668</v>
      </c>
      <c r="K147" s="120">
        <v>2119174</v>
      </c>
      <c r="L147" s="120">
        <v>2401680</v>
      </c>
    </row>
    <row r="148" spans="1:12" s="147" customFormat="1" ht="25.5">
      <c r="A148" s="150" t="s">
        <v>394</v>
      </c>
      <c r="B148" s="69" t="s">
        <v>41</v>
      </c>
      <c r="C148" s="69" t="s">
        <v>2</v>
      </c>
      <c r="D148" s="69" t="s">
        <v>20</v>
      </c>
      <c r="E148" s="69" t="s">
        <v>20</v>
      </c>
      <c r="F148" s="69" t="s">
        <v>127</v>
      </c>
      <c r="G148" s="69" t="s">
        <v>148</v>
      </c>
      <c r="H148" s="160" t="s">
        <v>243</v>
      </c>
      <c r="I148" s="99"/>
      <c r="J148" s="120">
        <f>J149</f>
        <v>51157386</v>
      </c>
      <c r="K148" s="120">
        <f t="shared" ref="K148:L149" si="52">K149</f>
        <v>48856189</v>
      </c>
      <c r="L148" s="120">
        <f t="shared" si="52"/>
        <v>50601583</v>
      </c>
    </row>
    <row r="149" spans="1:12" s="147" customFormat="1" ht="25.5">
      <c r="A149" s="150" t="s">
        <v>72</v>
      </c>
      <c r="B149" s="69" t="s">
        <v>41</v>
      </c>
      <c r="C149" s="69" t="s">
        <v>2</v>
      </c>
      <c r="D149" s="69" t="s">
        <v>20</v>
      </c>
      <c r="E149" s="69" t="s">
        <v>20</v>
      </c>
      <c r="F149" s="69" t="s">
        <v>127</v>
      </c>
      <c r="G149" s="69" t="s">
        <v>148</v>
      </c>
      <c r="H149" s="160" t="s">
        <v>243</v>
      </c>
      <c r="I149" s="99" t="s">
        <v>71</v>
      </c>
      <c r="J149" s="120">
        <f>J150</f>
        <v>51157386</v>
      </c>
      <c r="K149" s="120">
        <f t="shared" si="52"/>
        <v>48856189</v>
      </c>
      <c r="L149" s="120">
        <f t="shared" si="52"/>
        <v>50601583</v>
      </c>
    </row>
    <row r="150" spans="1:12" s="147" customFormat="1">
      <c r="A150" s="152" t="s">
        <v>75</v>
      </c>
      <c r="B150" s="69" t="s">
        <v>41</v>
      </c>
      <c r="C150" s="69" t="s">
        <v>2</v>
      </c>
      <c r="D150" s="69" t="s">
        <v>20</v>
      </c>
      <c r="E150" s="69" t="s">
        <v>20</v>
      </c>
      <c r="F150" s="69" t="s">
        <v>127</v>
      </c>
      <c r="G150" s="69" t="s">
        <v>148</v>
      </c>
      <c r="H150" s="160" t="s">
        <v>243</v>
      </c>
      <c r="I150" s="99" t="s">
        <v>74</v>
      </c>
      <c r="J150" s="120">
        <v>51157386</v>
      </c>
      <c r="K150" s="120">
        <v>48856189</v>
      </c>
      <c r="L150" s="120">
        <v>50601583</v>
      </c>
    </row>
    <row r="151" spans="1:12">
      <c r="A151" s="7"/>
      <c r="B151" s="1"/>
      <c r="C151" s="1"/>
      <c r="D151" s="1"/>
      <c r="E151" s="1"/>
      <c r="F151" s="1"/>
      <c r="G151" s="1"/>
      <c r="H151" s="1"/>
      <c r="I151" s="13"/>
      <c r="J151" s="87"/>
      <c r="K151" s="159"/>
      <c r="L151" s="159"/>
    </row>
    <row r="152" spans="1:12" s="91" customFormat="1">
      <c r="A152" s="4" t="s">
        <v>25</v>
      </c>
      <c r="B152" s="14" t="s">
        <v>41</v>
      </c>
      <c r="C152" s="15" t="s">
        <v>2</v>
      </c>
      <c r="D152" s="15" t="s">
        <v>17</v>
      </c>
      <c r="E152" s="15"/>
      <c r="F152" s="15"/>
      <c r="G152" s="15"/>
      <c r="H152" s="15"/>
      <c r="I152" s="28"/>
      <c r="J152" s="116">
        <f>J153</f>
        <v>309079104.48000002</v>
      </c>
      <c r="K152" s="116">
        <f t="shared" ref="K152:L152" si="53">K153</f>
        <v>303362208.33000004</v>
      </c>
      <c r="L152" s="116">
        <f t="shared" si="53"/>
        <v>310417017.47000003</v>
      </c>
    </row>
    <row r="153" spans="1:12" s="91" customFormat="1" ht="25.5">
      <c r="A153" s="149" t="s">
        <v>285</v>
      </c>
      <c r="B153" s="69" t="s">
        <v>41</v>
      </c>
      <c r="C153" s="1" t="s">
        <v>2</v>
      </c>
      <c r="D153" s="1" t="s">
        <v>17</v>
      </c>
      <c r="E153" s="1" t="s">
        <v>20</v>
      </c>
      <c r="F153" s="1" t="s">
        <v>70</v>
      </c>
      <c r="G153" s="1" t="s">
        <v>148</v>
      </c>
      <c r="H153" s="1" t="s">
        <v>149</v>
      </c>
      <c r="I153" s="13"/>
      <c r="J153" s="120">
        <f>J154+J176+J180</f>
        <v>309079104.48000002</v>
      </c>
      <c r="K153" s="120">
        <f t="shared" ref="K153:L153" si="54">K154+K176+K180</f>
        <v>303362208.33000004</v>
      </c>
      <c r="L153" s="120">
        <f t="shared" si="54"/>
        <v>310417017.47000003</v>
      </c>
    </row>
    <row r="154" spans="1:12" s="91" customFormat="1">
      <c r="A154" s="2" t="s">
        <v>142</v>
      </c>
      <c r="B154" s="69" t="s">
        <v>41</v>
      </c>
      <c r="C154" s="1" t="s">
        <v>2</v>
      </c>
      <c r="D154" s="1" t="s">
        <v>17</v>
      </c>
      <c r="E154" s="1" t="s">
        <v>20</v>
      </c>
      <c r="F154" s="1" t="s">
        <v>134</v>
      </c>
      <c r="G154" s="1" t="s">
        <v>148</v>
      </c>
      <c r="H154" s="1" t="s">
        <v>149</v>
      </c>
      <c r="I154" s="13"/>
      <c r="J154" s="120">
        <f>J155+J161+J167+J158+J164+J170+J173</f>
        <v>308564104.48000002</v>
      </c>
      <c r="K154" s="120">
        <f t="shared" ref="K154:L154" si="55">K155+K161+K167+K158+K164+K170+K173</f>
        <v>302847208.33000004</v>
      </c>
      <c r="L154" s="120">
        <f t="shared" si="55"/>
        <v>309902017.47000003</v>
      </c>
    </row>
    <row r="155" spans="1:12" s="91" customFormat="1" ht="38.25">
      <c r="A155" s="149" t="s">
        <v>143</v>
      </c>
      <c r="B155" s="69" t="s">
        <v>41</v>
      </c>
      <c r="C155" s="1" t="s">
        <v>2</v>
      </c>
      <c r="D155" s="1" t="s">
        <v>17</v>
      </c>
      <c r="E155" s="1" t="s">
        <v>20</v>
      </c>
      <c r="F155" s="1" t="s">
        <v>134</v>
      </c>
      <c r="G155" s="1" t="s">
        <v>148</v>
      </c>
      <c r="H155" s="1" t="s">
        <v>163</v>
      </c>
      <c r="I155" s="13"/>
      <c r="J155" s="120">
        <f>J156</f>
        <v>116245370</v>
      </c>
      <c r="K155" s="120">
        <f t="shared" ref="K155:L156" si="56">K156</f>
        <v>118721590.56</v>
      </c>
      <c r="L155" s="120">
        <f t="shared" si="56"/>
        <v>121831156.06</v>
      </c>
    </row>
    <row r="156" spans="1:12" s="91" customFormat="1" ht="25.5">
      <c r="A156" s="7" t="s">
        <v>72</v>
      </c>
      <c r="B156" s="69" t="s">
        <v>41</v>
      </c>
      <c r="C156" s="1" t="s">
        <v>2</v>
      </c>
      <c r="D156" s="1" t="s">
        <v>17</v>
      </c>
      <c r="E156" s="1" t="s">
        <v>20</v>
      </c>
      <c r="F156" s="1" t="s">
        <v>134</v>
      </c>
      <c r="G156" s="1" t="s">
        <v>148</v>
      </c>
      <c r="H156" s="1" t="s">
        <v>163</v>
      </c>
      <c r="I156" s="13" t="s">
        <v>71</v>
      </c>
      <c r="J156" s="120">
        <f>J157</f>
        <v>116245370</v>
      </c>
      <c r="K156" s="120">
        <f t="shared" si="56"/>
        <v>118721590.56</v>
      </c>
      <c r="L156" s="120">
        <f t="shared" si="56"/>
        <v>121831156.06</v>
      </c>
    </row>
    <row r="157" spans="1:12" s="147" customFormat="1">
      <c r="A157" s="11" t="s">
        <v>75</v>
      </c>
      <c r="B157" s="69" t="s">
        <v>41</v>
      </c>
      <c r="C157" s="1" t="s">
        <v>2</v>
      </c>
      <c r="D157" s="1" t="s">
        <v>17</v>
      </c>
      <c r="E157" s="1" t="s">
        <v>20</v>
      </c>
      <c r="F157" s="1" t="s">
        <v>134</v>
      </c>
      <c r="G157" s="1" t="s">
        <v>148</v>
      </c>
      <c r="H157" s="1" t="s">
        <v>163</v>
      </c>
      <c r="I157" s="13" t="s">
        <v>74</v>
      </c>
      <c r="J157" s="120">
        <f>113745370+2500000</f>
        <v>116245370</v>
      </c>
      <c r="K157" s="120">
        <f>116221590.56+2500000</f>
        <v>118721590.56</v>
      </c>
      <c r="L157" s="120">
        <f>120331156.06+1500000</f>
        <v>121831156.06</v>
      </c>
    </row>
    <row r="158" spans="1:12" s="147" customFormat="1" ht="25.5">
      <c r="A158" s="149" t="s">
        <v>377</v>
      </c>
      <c r="B158" s="69" t="s">
        <v>41</v>
      </c>
      <c r="C158" s="148" t="s">
        <v>2</v>
      </c>
      <c r="D158" s="148" t="s">
        <v>17</v>
      </c>
      <c r="E158" s="148" t="s">
        <v>20</v>
      </c>
      <c r="F158" s="148" t="s">
        <v>134</v>
      </c>
      <c r="G158" s="69" t="s">
        <v>148</v>
      </c>
      <c r="H158" s="160" t="s">
        <v>226</v>
      </c>
      <c r="I158" s="162"/>
      <c r="J158" s="120">
        <f>J159</f>
        <v>5000000</v>
      </c>
      <c r="K158" s="120">
        <f t="shared" ref="K158:L159" si="57">K159</f>
        <v>4000000</v>
      </c>
      <c r="L158" s="120">
        <f t="shared" si="57"/>
        <v>1000000</v>
      </c>
    </row>
    <row r="159" spans="1:12" s="147" customFormat="1" ht="25.5">
      <c r="A159" s="150" t="s">
        <v>72</v>
      </c>
      <c r="B159" s="69" t="s">
        <v>41</v>
      </c>
      <c r="C159" s="148" t="s">
        <v>2</v>
      </c>
      <c r="D159" s="148" t="s">
        <v>17</v>
      </c>
      <c r="E159" s="148" t="s">
        <v>20</v>
      </c>
      <c r="F159" s="148" t="s">
        <v>134</v>
      </c>
      <c r="G159" s="69" t="s">
        <v>148</v>
      </c>
      <c r="H159" s="160" t="s">
        <v>226</v>
      </c>
      <c r="I159" s="162" t="s">
        <v>71</v>
      </c>
      <c r="J159" s="120">
        <f>J160</f>
        <v>5000000</v>
      </c>
      <c r="K159" s="120">
        <f t="shared" si="57"/>
        <v>4000000</v>
      </c>
      <c r="L159" s="120">
        <f t="shared" si="57"/>
        <v>1000000</v>
      </c>
    </row>
    <row r="160" spans="1:12" s="91" customFormat="1">
      <c r="A160" s="152" t="s">
        <v>75</v>
      </c>
      <c r="B160" s="69" t="s">
        <v>41</v>
      </c>
      <c r="C160" s="148" t="s">
        <v>2</v>
      </c>
      <c r="D160" s="148" t="s">
        <v>17</v>
      </c>
      <c r="E160" s="148" t="s">
        <v>20</v>
      </c>
      <c r="F160" s="148" t="s">
        <v>134</v>
      </c>
      <c r="G160" s="69" t="s">
        <v>148</v>
      </c>
      <c r="H160" s="160" t="s">
        <v>226</v>
      </c>
      <c r="I160" s="162" t="s">
        <v>74</v>
      </c>
      <c r="J160" s="120">
        <v>5000000</v>
      </c>
      <c r="K160" s="120">
        <v>4000000</v>
      </c>
      <c r="L160" s="120">
        <v>1000000</v>
      </c>
    </row>
    <row r="161" spans="1:12" s="91" customFormat="1" ht="38.25">
      <c r="A161" s="149" t="s">
        <v>381</v>
      </c>
      <c r="B161" s="69" t="s">
        <v>41</v>
      </c>
      <c r="C161" s="1" t="s">
        <v>2</v>
      </c>
      <c r="D161" s="1" t="s">
        <v>17</v>
      </c>
      <c r="E161" s="1" t="s">
        <v>20</v>
      </c>
      <c r="F161" s="1" t="s">
        <v>134</v>
      </c>
      <c r="G161" s="1" t="s">
        <v>148</v>
      </c>
      <c r="H161" s="1" t="s">
        <v>156</v>
      </c>
      <c r="I161" s="13"/>
      <c r="J161" s="120">
        <f>J162</f>
        <v>39035.279999999999</v>
      </c>
      <c r="K161" s="120">
        <f t="shared" ref="K161:L162" si="58">K162</f>
        <v>40596.400000000001</v>
      </c>
      <c r="L161" s="120">
        <f t="shared" si="58"/>
        <v>42220.25</v>
      </c>
    </row>
    <row r="162" spans="1:12" s="91" customFormat="1" ht="25.5">
      <c r="A162" s="7" t="s">
        <v>72</v>
      </c>
      <c r="B162" s="69" t="s">
        <v>41</v>
      </c>
      <c r="C162" s="1" t="s">
        <v>2</v>
      </c>
      <c r="D162" s="1" t="s">
        <v>17</v>
      </c>
      <c r="E162" s="1" t="s">
        <v>20</v>
      </c>
      <c r="F162" s="1" t="s">
        <v>134</v>
      </c>
      <c r="G162" s="1" t="s">
        <v>148</v>
      </c>
      <c r="H162" s="1" t="s">
        <v>156</v>
      </c>
      <c r="I162" s="13" t="s">
        <v>71</v>
      </c>
      <c r="J162" s="120">
        <f>J163</f>
        <v>39035.279999999999</v>
      </c>
      <c r="K162" s="120">
        <f t="shared" si="58"/>
        <v>40596.400000000001</v>
      </c>
      <c r="L162" s="120">
        <f t="shared" si="58"/>
        <v>42220.25</v>
      </c>
    </row>
    <row r="163" spans="1:12" s="91" customFormat="1">
      <c r="A163" s="11" t="s">
        <v>75</v>
      </c>
      <c r="B163" s="69" t="s">
        <v>41</v>
      </c>
      <c r="C163" s="1" t="s">
        <v>2</v>
      </c>
      <c r="D163" s="1" t="s">
        <v>17</v>
      </c>
      <c r="E163" s="1" t="s">
        <v>20</v>
      </c>
      <c r="F163" s="1" t="s">
        <v>134</v>
      </c>
      <c r="G163" s="1" t="s">
        <v>148</v>
      </c>
      <c r="H163" s="1" t="s">
        <v>156</v>
      </c>
      <c r="I163" s="13" t="s">
        <v>74</v>
      </c>
      <c r="J163" s="120">
        <v>39035.279999999999</v>
      </c>
      <c r="K163" s="120">
        <v>40596.400000000001</v>
      </c>
      <c r="L163" s="120">
        <v>42220.25</v>
      </c>
    </row>
    <row r="164" spans="1:12" s="91" customFormat="1" ht="38.25">
      <c r="A164" s="152" t="s">
        <v>237</v>
      </c>
      <c r="B164" s="69" t="s">
        <v>41</v>
      </c>
      <c r="C164" s="148" t="s">
        <v>2</v>
      </c>
      <c r="D164" s="148" t="s">
        <v>17</v>
      </c>
      <c r="E164" s="148" t="s">
        <v>20</v>
      </c>
      <c r="F164" s="148" t="s">
        <v>134</v>
      </c>
      <c r="G164" s="148" t="s">
        <v>148</v>
      </c>
      <c r="H164" s="148" t="s">
        <v>236</v>
      </c>
      <c r="I164" s="146"/>
      <c r="J164" s="120">
        <f>J165</f>
        <v>12898435</v>
      </c>
      <c r="K164" s="120">
        <f t="shared" ref="K164:L165" si="59">K165</f>
        <v>12735130</v>
      </c>
      <c r="L164" s="120">
        <f t="shared" si="59"/>
        <v>12735130</v>
      </c>
    </row>
    <row r="165" spans="1:12" s="91" customFormat="1" ht="25.5">
      <c r="A165" s="150" t="s">
        <v>72</v>
      </c>
      <c r="B165" s="69" t="s">
        <v>41</v>
      </c>
      <c r="C165" s="148" t="s">
        <v>2</v>
      </c>
      <c r="D165" s="148" t="s">
        <v>17</v>
      </c>
      <c r="E165" s="148" t="s">
        <v>20</v>
      </c>
      <c r="F165" s="148" t="s">
        <v>134</v>
      </c>
      <c r="G165" s="148" t="s">
        <v>148</v>
      </c>
      <c r="H165" s="148" t="s">
        <v>236</v>
      </c>
      <c r="I165" s="146" t="s">
        <v>71</v>
      </c>
      <c r="J165" s="120">
        <f>J166</f>
        <v>12898435</v>
      </c>
      <c r="K165" s="120">
        <f t="shared" si="59"/>
        <v>12735130</v>
      </c>
      <c r="L165" s="120">
        <f t="shared" si="59"/>
        <v>12735130</v>
      </c>
    </row>
    <row r="166" spans="1:12">
      <c r="A166" s="152" t="s">
        <v>75</v>
      </c>
      <c r="B166" s="69" t="s">
        <v>41</v>
      </c>
      <c r="C166" s="148" t="s">
        <v>2</v>
      </c>
      <c r="D166" s="148" t="s">
        <v>17</v>
      </c>
      <c r="E166" s="148" t="s">
        <v>20</v>
      </c>
      <c r="F166" s="148" t="s">
        <v>134</v>
      </c>
      <c r="G166" s="148" t="s">
        <v>148</v>
      </c>
      <c r="H166" s="148" t="s">
        <v>236</v>
      </c>
      <c r="I166" s="146" t="s">
        <v>74</v>
      </c>
      <c r="J166" s="120">
        <v>12898435</v>
      </c>
      <c r="K166" s="120">
        <v>12735130</v>
      </c>
      <c r="L166" s="120">
        <v>12735130</v>
      </c>
    </row>
    <row r="167" spans="1:12" ht="63.75">
      <c r="A167" s="152" t="s">
        <v>313</v>
      </c>
      <c r="B167" s="69" t="s">
        <v>41</v>
      </c>
      <c r="C167" s="1" t="s">
        <v>2</v>
      </c>
      <c r="D167" s="1" t="s">
        <v>17</v>
      </c>
      <c r="E167" s="1" t="s">
        <v>20</v>
      </c>
      <c r="F167" s="1" t="s">
        <v>134</v>
      </c>
      <c r="G167" s="69" t="s">
        <v>148</v>
      </c>
      <c r="H167" s="92" t="s">
        <v>206</v>
      </c>
      <c r="I167" s="99"/>
      <c r="J167" s="120">
        <f>J168</f>
        <v>9439451.1999999993</v>
      </c>
      <c r="K167" s="120">
        <f t="shared" ref="K167:L168" si="60">K168</f>
        <v>9817028.3699999992</v>
      </c>
      <c r="L167" s="120">
        <f t="shared" si="60"/>
        <v>11141166.16</v>
      </c>
    </row>
    <row r="168" spans="1:12" ht="25.5">
      <c r="A168" s="7" t="s">
        <v>72</v>
      </c>
      <c r="B168" s="69" t="s">
        <v>41</v>
      </c>
      <c r="C168" s="1" t="s">
        <v>2</v>
      </c>
      <c r="D168" s="1" t="s">
        <v>17</v>
      </c>
      <c r="E168" s="1" t="s">
        <v>20</v>
      </c>
      <c r="F168" s="1" t="s">
        <v>134</v>
      </c>
      <c r="G168" s="69" t="s">
        <v>148</v>
      </c>
      <c r="H168" s="92" t="s">
        <v>206</v>
      </c>
      <c r="I168" s="133" t="s">
        <v>71</v>
      </c>
      <c r="J168" s="120">
        <f>J169</f>
        <v>9439451.1999999993</v>
      </c>
      <c r="K168" s="120">
        <f t="shared" si="60"/>
        <v>9817028.3699999992</v>
      </c>
      <c r="L168" s="120">
        <f t="shared" si="60"/>
        <v>11141166.16</v>
      </c>
    </row>
    <row r="169" spans="1:12" s="91" customFormat="1">
      <c r="A169" s="11" t="s">
        <v>75</v>
      </c>
      <c r="B169" s="69" t="s">
        <v>41</v>
      </c>
      <c r="C169" s="1" t="s">
        <v>2</v>
      </c>
      <c r="D169" s="1" t="s">
        <v>17</v>
      </c>
      <c r="E169" s="1" t="s">
        <v>20</v>
      </c>
      <c r="F169" s="1" t="s">
        <v>134</v>
      </c>
      <c r="G169" s="69" t="s">
        <v>148</v>
      </c>
      <c r="H169" s="92" t="s">
        <v>206</v>
      </c>
      <c r="I169" s="133" t="s">
        <v>74</v>
      </c>
      <c r="J169" s="120">
        <v>9439451.1999999993</v>
      </c>
      <c r="K169" s="120">
        <v>9817028.3699999992</v>
      </c>
      <c r="L169" s="120">
        <v>11141166.16</v>
      </c>
    </row>
    <row r="170" spans="1:12" s="91" customFormat="1" ht="25.5">
      <c r="A170" s="150" t="s">
        <v>394</v>
      </c>
      <c r="B170" s="69" t="s">
        <v>41</v>
      </c>
      <c r="C170" s="148" t="s">
        <v>2</v>
      </c>
      <c r="D170" s="148" t="s">
        <v>17</v>
      </c>
      <c r="E170" s="148" t="s">
        <v>20</v>
      </c>
      <c r="F170" s="148" t="s">
        <v>134</v>
      </c>
      <c r="G170" s="148" t="s">
        <v>148</v>
      </c>
      <c r="H170" s="148" t="s">
        <v>243</v>
      </c>
      <c r="I170" s="146"/>
      <c r="J170" s="120">
        <f>J171</f>
        <v>164706721</v>
      </c>
      <c r="K170" s="120">
        <f t="shared" ref="K170:L171" si="61">K171</f>
        <v>157297771</v>
      </c>
      <c r="L170" s="120">
        <f t="shared" si="61"/>
        <v>162917253</v>
      </c>
    </row>
    <row r="171" spans="1:12" s="91" customFormat="1" ht="25.5">
      <c r="A171" s="150" t="s">
        <v>72</v>
      </c>
      <c r="B171" s="69" t="s">
        <v>41</v>
      </c>
      <c r="C171" s="148" t="s">
        <v>2</v>
      </c>
      <c r="D171" s="148" t="s">
        <v>17</v>
      </c>
      <c r="E171" s="148" t="s">
        <v>20</v>
      </c>
      <c r="F171" s="148" t="s">
        <v>134</v>
      </c>
      <c r="G171" s="148" t="s">
        <v>148</v>
      </c>
      <c r="H171" s="148" t="s">
        <v>243</v>
      </c>
      <c r="I171" s="146" t="s">
        <v>71</v>
      </c>
      <c r="J171" s="120">
        <f>J172</f>
        <v>164706721</v>
      </c>
      <c r="K171" s="120">
        <f t="shared" si="61"/>
        <v>157297771</v>
      </c>
      <c r="L171" s="120">
        <f t="shared" si="61"/>
        <v>162917253</v>
      </c>
    </row>
    <row r="172" spans="1:12" s="91" customFormat="1">
      <c r="A172" s="152" t="s">
        <v>75</v>
      </c>
      <c r="B172" s="69" t="s">
        <v>41</v>
      </c>
      <c r="C172" s="148" t="s">
        <v>2</v>
      </c>
      <c r="D172" s="148" t="s">
        <v>17</v>
      </c>
      <c r="E172" s="148" t="s">
        <v>20</v>
      </c>
      <c r="F172" s="148" t="s">
        <v>134</v>
      </c>
      <c r="G172" s="148" t="s">
        <v>148</v>
      </c>
      <c r="H172" s="148" t="s">
        <v>243</v>
      </c>
      <c r="I172" s="146" t="s">
        <v>74</v>
      </c>
      <c r="J172" s="120">
        <v>164706721</v>
      </c>
      <c r="K172" s="120">
        <v>157297771</v>
      </c>
      <c r="L172" s="120">
        <v>162917253</v>
      </c>
    </row>
    <row r="173" spans="1:12" s="91" customFormat="1" ht="51">
      <c r="A173" s="152" t="s">
        <v>301</v>
      </c>
      <c r="B173" s="69" t="s">
        <v>41</v>
      </c>
      <c r="C173" s="148" t="s">
        <v>2</v>
      </c>
      <c r="D173" s="148" t="s">
        <v>17</v>
      </c>
      <c r="E173" s="148" t="s">
        <v>20</v>
      </c>
      <c r="F173" s="148" t="s">
        <v>134</v>
      </c>
      <c r="G173" s="148" t="s">
        <v>148</v>
      </c>
      <c r="H173" s="148" t="s">
        <v>254</v>
      </c>
      <c r="I173" s="146"/>
      <c r="J173" s="120">
        <f>J174</f>
        <v>235092</v>
      </c>
      <c r="K173" s="120">
        <f t="shared" ref="K173:L174" si="62">K174</f>
        <v>235092</v>
      </c>
      <c r="L173" s="120">
        <f t="shared" si="62"/>
        <v>235092</v>
      </c>
    </row>
    <row r="174" spans="1:12" s="91" customFormat="1" ht="25.5">
      <c r="A174" s="150" t="s">
        <v>72</v>
      </c>
      <c r="B174" s="69" t="s">
        <v>41</v>
      </c>
      <c r="C174" s="148" t="s">
        <v>2</v>
      </c>
      <c r="D174" s="148" t="s">
        <v>17</v>
      </c>
      <c r="E174" s="148" t="s">
        <v>20</v>
      </c>
      <c r="F174" s="148" t="s">
        <v>134</v>
      </c>
      <c r="G174" s="148" t="s">
        <v>148</v>
      </c>
      <c r="H174" s="148" t="s">
        <v>254</v>
      </c>
      <c r="I174" s="146" t="s">
        <v>71</v>
      </c>
      <c r="J174" s="120">
        <f>J175</f>
        <v>235092</v>
      </c>
      <c r="K174" s="120">
        <f t="shared" si="62"/>
        <v>235092</v>
      </c>
      <c r="L174" s="120">
        <f t="shared" si="62"/>
        <v>235092</v>
      </c>
    </row>
    <row r="175" spans="1:12" s="91" customFormat="1">
      <c r="A175" s="152" t="s">
        <v>75</v>
      </c>
      <c r="B175" s="69" t="s">
        <v>41</v>
      </c>
      <c r="C175" s="148" t="s">
        <v>2</v>
      </c>
      <c r="D175" s="148" t="s">
        <v>17</v>
      </c>
      <c r="E175" s="148" t="s">
        <v>20</v>
      </c>
      <c r="F175" s="148" t="s">
        <v>134</v>
      </c>
      <c r="G175" s="148" t="s">
        <v>148</v>
      </c>
      <c r="H175" s="148" t="s">
        <v>254</v>
      </c>
      <c r="I175" s="146" t="s">
        <v>74</v>
      </c>
      <c r="J175" s="120">
        <v>235092</v>
      </c>
      <c r="K175" s="120">
        <v>235092</v>
      </c>
      <c r="L175" s="120">
        <v>235092</v>
      </c>
    </row>
    <row r="176" spans="1:12" s="91" customFormat="1" ht="25.5">
      <c r="A176" s="2" t="s">
        <v>141</v>
      </c>
      <c r="B176" s="69" t="s">
        <v>41</v>
      </c>
      <c r="C176" s="1" t="s">
        <v>2</v>
      </c>
      <c r="D176" s="1" t="s">
        <v>17</v>
      </c>
      <c r="E176" s="1" t="s">
        <v>20</v>
      </c>
      <c r="F176" s="1" t="s">
        <v>44</v>
      </c>
      <c r="G176" s="1" t="s">
        <v>148</v>
      </c>
      <c r="H176" s="1" t="s">
        <v>149</v>
      </c>
      <c r="I176" s="13"/>
      <c r="J176" s="120">
        <f>J177</f>
        <v>400000</v>
      </c>
      <c r="K176" s="120">
        <f t="shared" ref="K176:L177" si="63">K177</f>
        <v>400000</v>
      </c>
      <c r="L176" s="120">
        <f t="shared" si="63"/>
        <v>400000</v>
      </c>
    </row>
    <row r="177" spans="1:12" s="91" customFormat="1">
      <c r="A177" s="2" t="s">
        <v>88</v>
      </c>
      <c r="B177" s="69" t="s">
        <v>41</v>
      </c>
      <c r="C177" s="1" t="s">
        <v>2</v>
      </c>
      <c r="D177" s="1" t="s">
        <v>17</v>
      </c>
      <c r="E177" s="1" t="s">
        <v>20</v>
      </c>
      <c r="F177" s="1" t="s">
        <v>44</v>
      </c>
      <c r="G177" s="1" t="s">
        <v>148</v>
      </c>
      <c r="H177" s="1" t="s">
        <v>162</v>
      </c>
      <c r="I177" s="13"/>
      <c r="J177" s="120">
        <f>J178</f>
        <v>400000</v>
      </c>
      <c r="K177" s="120">
        <f t="shared" si="63"/>
        <v>400000</v>
      </c>
      <c r="L177" s="120">
        <f t="shared" si="63"/>
        <v>400000</v>
      </c>
    </row>
    <row r="178" spans="1:12" s="91" customFormat="1" ht="25.5">
      <c r="A178" s="7" t="s">
        <v>72</v>
      </c>
      <c r="B178" s="69" t="s">
        <v>41</v>
      </c>
      <c r="C178" s="1" t="s">
        <v>2</v>
      </c>
      <c r="D178" s="1" t="s">
        <v>17</v>
      </c>
      <c r="E178" s="1" t="s">
        <v>20</v>
      </c>
      <c r="F178" s="1" t="s">
        <v>44</v>
      </c>
      <c r="G178" s="1" t="s">
        <v>148</v>
      </c>
      <c r="H178" s="1" t="s">
        <v>162</v>
      </c>
      <c r="I178" s="13" t="s">
        <v>71</v>
      </c>
      <c r="J178" s="120">
        <f t="shared" ref="J178:L178" si="64">J179</f>
        <v>400000</v>
      </c>
      <c r="K178" s="120">
        <f t="shared" si="64"/>
        <v>400000</v>
      </c>
      <c r="L178" s="120">
        <f t="shared" si="64"/>
        <v>400000</v>
      </c>
    </row>
    <row r="179" spans="1:12" s="91" customFormat="1">
      <c r="A179" s="11" t="s">
        <v>75</v>
      </c>
      <c r="B179" s="69" t="s">
        <v>41</v>
      </c>
      <c r="C179" s="1" t="s">
        <v>2</v>
      </c>
      <c r="D179" s="1" t="s">
        <v>17</v>
      </c>
      <c r="E179" s="1" t="s">
        <v>20</v>
      </c>
      <c r="F179" s="1" t="s">
        <v>44</v>
      </c>
      <c r="G179" s="1" t="s">
        <v>148</v>
      </c>
      <c r="H179" s="1" t="s">
        <v>162</v>
      </c>
      <c r="I179" s="13" t="s">
        <v>74</v>
      </c>
      <c r="J179" s="120">
        <v>400000</v>
      </c>
      <c r="K179" s="120">
        <v>400000</v>
      </c>
      <c r="L179" s="120">
        <v>400000</v>
      </c>
    </row>
    <row r="180" spans="1:12" s="91" customFormat="1" ht="25.5">
      <c r="A180" s="2" t="s">
        <v>146</v>
      </c>
      <c r="B180" s="69" t="s">
        <v>41</v>
      </c>
      <c r="C180" s="1" t="s">
        <v>2</v>
      </c>
      <c r="D180" s="1" t="s">
        <v>17</v>
      </c>
      <c r="E180" s="1" t="s">
        <v>20</v>
      </c>
      <c r="F180" s="1" t="s">
        <v>114</v>
      </c>
      <c r="G180" s="1" t="s">
        <v>148</v>
      </c>
      <c r="H180" s="1" t="s">
        <v>149</v>
      </c>
      <c r="I180" s="13"/>
      <c r="J180" s="120">
        <f t="shared" ref="J180:L182" si="65">J181</f>
        <v>115000</v>
      </c>
      <c r="K180" s="120">
        <f t="shared" si="65"/>
        <v>115000</v>
      </c>
      <c r="L180" s="120">
        <f t="shared" si="65"/>
        <v>115000</v>
      </c>
    </row>
    <row r="181" spans="1:12" s="91" customFormat="1">
      <c r="A181" s="2" t="s">
        <v>88</v>
      </c>
      <c r="B181" s="69" t="s">
        <v>41</v>
      </c>
      <c r="C181" s="1" t="s">
        <v>2</v>
      </c>
      <c r="D181" s="1" t="s">
        <v>17</v>
      </c>
      <c r="E181" s="1" t="s">
        <v>20</v>
      </c>
      <c r="F181" s="1" t="s">
        <v>114</v>
      </c>
      <c r="G181" s="1" t="s">
        <v>148</v>
      </c>
      <c r="H181" s="1" t="s">
        <v>162</v>
      </c>
      <c r="I181" s="13"/>
      <c r="J181" s="120">
        <f t="shared" si="65"/>
        <v>115000</v>
      </c>
      <c r="K181" s="120">
        <f t="shared" si="65"/>
        <v>115000</v>
      </c>
      <c r="L181" s="120">
        <f t="shared" si="65"/>
        <v>115000</v>
      </c>
    </row>
    <row r="182" spans="1:12" s="91" customFormat="1" ht="25.5">
      <c r="A182" s="7" t="s">
        <v>72</v>
      </c>
      <c r="B182" s="69" t="s">
        <v>41</v>
      </c>
      <c r="C182" s="1" t="s">
        <v>2</v>
      </c>
      <c r="D182" s="1" t="s">
        <v>17</v>
      </c>
      <c r="E182" s="1" t="s">
        <v>20</v>
      </c>
      <c r="F182" s="1" t="s">
        <v>114</v>
      </c>
      <c r="G182" s="1" t="s">
        <v>148</v>
      </c>
      <c r="H182" s="1" t="s">
        <v>162</v>
      </c>
      <c r="I182" s="13" t="s">
        <v>71</v>
      </c>
      <c r="J182" s="120">
        <f t="shared" si="65"/>
        <v>115000</v>
      </c>
      <c r="K182" s="120">
        <f t="shared" si="65"/>
        <v>115000</v>
      </c>
      <c r="L182" s="120">
        <f t="shared" si="65"/>
        <v>115000</v>
      </c>
    </row>
    <row r="183" spans="1:12">
      <c r="A183" s="11" t="s">
        <v>75</v>
      </c>
      <c r="B183" s="69" t="s">
        <v>41</v>
      </c>
      <c r="C183" s="1" t="s">
        <v>2</v>
      </c>
      <c r="D183" s="1" t="s">
        <v>17</v>
      </c>
      <c r="E183" s="1" t="s">
        <v>20</v>
      </c>
      <c r="F183" s="1" t="s">
        <v>114</v>
      </c>
      <c r="G183" s="1" t="s">
        <v>148</v>
      </c>
      <c r="H183" s="1" t="s">
        <v>162</v>
      </c>
      <c r="I183" s="13" t="s">
        <v>74</v>
      </c>
      <c r="J183" s="120">
        <v>115000</v>
      </c>
      <c r="K183" s="120">
        <v>115000</v>
      </c>
      <c r="L183" s="120">
        <v>115000</v>
      </c>
    </row>
    <row r="184" spans="1:12">
      <c r="A184" s="7"/>
      <c r="B184" s="50"/>
      <c r="C184" s="1"/>
      <c r="D184" s="1"/>
      <c r="E184" s="1"/>
      <c r="F184" s="1"/>
      <c r="G184" s="1"/>
      <c r="H184" s="1"/>
      <c r="I184" s="13"/>
      <c r="J184" s="87"/>
      <c r="K184" s="159"/>
      <c r="L184" s="159"/>
    </row>
    <row r="185" spans="1:12">
      <c r="A185" s="19" t="s">
        <v>203</v>
      </c>
      <c r="B185" s="132" t="s">
        <v>41</v>
      </c>
      <c r="C185" s="15" t="s">
        <v>2</v>
      </c>
      <c r="D185" s="15" t="s">
        <v>13</v>
      </c>
      <c r="E185" s="15"/>
      <c r="F185" s="15"/>
      <c r="G185" s="15"/>
      <c r="H185" s="15"/>
      <c r="I185" s="28"/>
      <c r="J185" s="116">
        <f>J186+J211</f>
        <v>25554433</v>
      </c>
      <c r="K185" s="116">
        <f t="shared" ref="K185:L185" si="66">K186+K211</f>
        <v>20437881.77</v>
      </c>
      <c r="L185" s="116">
        <f t="shared" si="66"/>
        <v>20896508.880000003</v>
      </c>
    </row>
    <row r="186" spans="1:12" s="91" customFormat="1" ht="25.5">
      <c r="A186" s="149" t="s">
        <v>285</v>
      </c>
      <c r="B186" s="69" t="s">
        <v>41</v>
      </c>
      <c r="C186" s="1" t="s">
        <v>2</v>
      </c>
      <c r="D186" s="1" t="s">
        <v>13</v>
      </c>
      <c r="E186" s="136" t="s">
        <v>20</v>
      </c>
      <c r="F186" s="136" t="s">
        <v>70</v>
      </c>
      <c r="G186" s="136" t="s">
        <v>148</v>
      </c>
      <c r="H186" s="136" t="s">
        <v>149</v>
      </c>
      <c r="I186" s="137"/>
      <c r="J186" s="138">
        <f>J187+J207</f>
        <v>20554433</v>
      </c>
      <c r="K186" s="138">
        <f t="shared" ref="K186:L186" si="67">K187+K207</f>
        <v>20437881.77</v>
      </c>
      <c r="L186" s="138">
        <f t="shared" si="67"/>
        <v>20896508.880000003</v>
      </c>
    </row>
    <row r="187" spans="1:12" s="91" customFormat="1" ht="25.5">
      <c r="A187" s="2" t="s">
        <v>144</v>
      </c>
      <c r="B187" s="69" t="s">
        <v>41</v>
      </c>
      <c r="C187" s="1" t="s">
        <v>2</v>
      </c>
      <c r="D187" s="1" t="s">
        <v>13</v>
      </c>
      <c r="E187" s="1" t="s">
        <v>20</v>
      </c>
      <c r="F187" s="1" t="s">
        <v>113</v>
      </c>
      <c r="G187" s="1" t="s">
        <v>148</v>
      </c>
      <c r="H187" s="1" t="s">
        <v>149</v>
      </c>
      <c r="I187" s="13"/>
      <c r="J187" s="120">
        <f>+J195+J198+J201+J204+J188</f>
        <v>20254433</v>
      </c>
      <c r="K187" s="120">
        <f t="shared" ref="K187:L187" si="68">+K195+K198+K201+K204+K188</f>
        <v>20137881.77</v>
      </c>
      <c r="L187" s="120">
        <f t="shared" si="68"/>
        <v>20596508.880000003</v>
      </c>
    </row>
    <row r="188" spans="1:12" s="91" customFormat="1" ht="25.5">
      <c r="A188" s="149" t="s">
        <v>248</v>
      </c>
      <c r="B188" s="69" t="s">
        <v>41</v>
      </c>
      <c r="C188" s="148" t="s">
        <v>2</v>
      </c>
      <c r="D188" s="148" t="s">
        <v>13</v>
      </c>
      <c r="E188" s="148" t="s">
        <v>20</v>
      </c>
      <c r="F188" s="148" t="s">
        <v>113</v>
      </c>
      <c r="G188" s="148" t="s">
        <v>148</v>
      </c>
      <c r="H188" s="148" t="s">
        <v>245</v>
      </c>
      <c r="I188" s="146"/>
      <c r="J188" s="120">
        <f>J189+J193</f>
        <v>6550200</v>
      </c>
      <c r="K188" s="120">
        <f t="shared" ref="K188:L188" si="69">K189+K193</f>
        <v>6609480</v>
      </c>
      <c r="L188" s="120">
        <f t="shared" si="69"/>
        <v>6637350</v>
      </c>
    </row>
    <row r="189" spans="1:12" s="91" customFormat="1" ht="25.5">
      <c r="A189" s="150" t="s">
        <v>72</v>
      </c>
      <c r="B189" s="69" t="s">
        <v>41</v>
      </c>
      <c r="C189" s="148" t="s">
        <v>2</v>
      </c>
      <c r="D189" s="148" t="s">
        <v>13</v>
      </c>
      <c r="E189" s="148" t="s">
        <v>20</v>
      </c>
      <c r="F189" s="148" t="s">
        <v>113</v>
      </c>
      <c r="G189" s="148" t="s">
        <v>148</v>
      </c>
      <c r="H189" s="148" t="s">
        <v>245</v>
      </c>
      <c r="I189" s="146" t="s">
        <v>71</v>
      </c>
      <c r="J189" s="120">
        <f>J190+J191+J192</f>
        <v>6496537.6799999997</v>
      </c>
      <c r="K189" s="120">
        <f t="shared" ref="K189:L189" si="70">K190+K191+K192</f>
        <v>6555533</v>
      </c>
      <c r="L189" s="120">
        <f t="shared" si="70"/>
        <v>6583243</v>
      </c>
    </row>
    <row r="190" spans="1:12" s="91" customFormat="1">
      <c r="A190" s="152" t="s">
        <v>75</v>
      </c>
      <c r="B190" s="69" t="s">
        <v>41</v>
      </c>
      <c r="C190" s="148" t="s">
        <v>2</v>
      </c>
      <c r="D190" s="148" t="s">
        <v>13</v>
      </c>
      <c r="E190" s="148" t="s">
        <v>20</v>
      </c>
      <c r="F190" s="148" t="s">
        <v>113</v>
      </c>
      <c r="G190" s="148" t="s">
        <v>148</v>
      </c>
      <c r="H190" s="148" t="s">
        <v>245</v>
      </c>
      <c r="I190" s="146" t="s">
        <v>74</v>
      </c>
      <c r="J190" s="120">
        <f>6336337.68+53400</f>
        <v>6389737.6799999997</v>
      </c>
      <c r="K190" s="120">
        <v>6447633</v>
      </c>
      <c r="L190" s="120">
        <v>6474843</v>
      </c>
    </row>
    <row r="191" spans="1:12" s="91" customFormat="1">
      <c r="A191" s="149" t="s">
        <v>249</v>
      </c>
      <c r="B191" s="69" t="s">
        <v>41</v>
      </c>
      <c r="C191" s="148" t="s">
        <v>2</v>
      </c>
      <c r="D191" s="148" t="s">
        <v>13</v>
      </c>
      <c r="E191" s="148" t="s">
        <v>20</v>
      </c>
      <c r="F191" s="148" t="s">
        <v>113</v>
      </c>
      <c r="G191" s="148" t="s">
        <v>148</v>
      </c>
      <c r="H191" s="148" t="s">
        <v>245</v>
      </c>
      <c r="I191" s="146" t="s">
        <v>246</v>
      </c>
      <c r="J191" s="120">
        <v>53400</v>
      </c>
      <c r="K191" s="120">
        <v>53950</v>
      </c>
      <c r="L191" s="120">
        <v>54200</v>
      </c>
    </row>
    <row r="192" spans="1:12" s="91" customFormat="1" ht="25.5">
      <c r="A192" s="149" t="s">
        <v>250</v>
      </c>
      <c r="B192" s="69" t="s">
        <v>41</v>
      </c>
      <c r="C192" s="148" t="s">
        <v>2</v>
      </c>
      <c r="D192" s="148" t="s">
        <v>13</v>
      </c>
      <c r="E192" s="148" t="s">
        <v>20</v>
      </c>
      <c r="F192" s="148" t="s">
        <v>113</v>
      </c>
      <c r="G192" s="148" t="s">
        <v>148</v>
      </c>
      <c r="H192" s="148" t="s">
        <v>245</v>
      </c>
      <c r="I192" s="146" t="s">
        <v>247</v>
      </c>
      <c r="J192" s="120">
        <v>53400</v>
      </c>
      <c r="K192" s="120">
        <v>53950</v>
      </c>
      <c r="L192" s="120">
        <v>54200</v>
      </c>
    </row>
    <row r="193" spans="1:12" s="91" customFormat="1">
      <c r="A193" s="149" t="s">
        <v>80</v>
      </c>
      <c r="B193" s="69" t="s">
        <v>41</v>
      </c>
      <c r="C193" s="148" t="s">
        <v>2</v>
      </c>
      <c r="D193" s="148" t="s">
        <v>13</v>
      </c>
      <c r="E193" s="148" t="s">
        <v>20</v>
      </c>
      <c r="F193" s="148" t="s">
        <v>113</v>
      </c>
      <c r="G193" s="148" t="s">
        <v>148</v>
      </c>
      <c r="H193" s="148" t="s">
        <v>245</v>
      </c>
      <c r="I193" s="146" t="s">
        <v>77</v>
      </c>
      <c r="J193" s="120">
        <f>J194</f>
        <v>53662.32</v>
      </c>
      <c r="K193" s="120">
        <f t="shared" ref="K193:L193" si="71">K194</f>
        <v>53947</v>
      </c>
      <c r="L193" s="120">
        <f t="shared" si="71"/>
        <v>54107</v>
      </c>
    </row>
    <row r="194" spans="1:12" s="91" customFormat="1" ht="38.25">
      <c r="A194" s="149" t="s">
        <v>251</v>
      </c>
      <c r="B194" s="69" t="s">
        <v>41</v>
      </c>
      <c r="C194" s="148" t="s">
        <v>2</v>
      </c>
      <c r="D194" s="148" t="s">
        <v>13</v>
      </c>
      <c r="E194" s="148" t="s">
        <v>20</v>
      </c>
      <c r="F194" s="148" t="s">
        <v>113</v>
      </c>
      <c r="G194" s="148" t="s">
        <v>148</v>
      </c>
      <c r="H194" s="148" t="s">
        <v>245</v>
      </c>
      <c r="I194" s="146" t="s">
        <v>78</v>
      </c>
      <c r="J194" s="120">
        <v>53662.32</v>
      </c>
      <c r="K194" s="120">
        <v>53947</v>
      </c>
      <c r="L194" s="120">
        <v>54107</v>
      </c>
    </row>
    <row r="195" spans="1:12" s="91" customFormat="1" ht="25.5">
      <c r="A195" s="2" t="s">
        <v>145</v>
      </c>
      <c r="B195" s="69" t="s">
        <v>41</v>
      </c>
      <c r="C195" s="1" t="s">
        <v>2</v>
      </c>
      <c r="D195" s="1" t="s">
        <v>13</v>
      </c>
      <c r="E195" s="1" t="s">
        <v>20</v>
      </c>
      <c r="F195" s="1" t="s">
        <v>113</v>
      </c>
      <c r="G195" s="1" t="s">
        <v>148</v>
      </c>
      <c r="H195" s="1" t="s">
        <v>164</v>
      </c>
      <c r="I195" s="13"/>
      <c r="J195" s="120">
        <f>J196</f>
        <v>6526818</v>
      </c>
      <c r="K195" s="120">
        <f t="shared" ref="K195:L196" si="72">K196</f>
        <v>6662498.7699999996</v>
      </c>
      <c r="L195" s="120">
        <f t="shared" si="72"/>
        <v>6834240.8800000008</v>
      </c>
    </row>
    <row r="196" spans="1:12" s="91" customFormat="1" ht="25.5">
      <c r="A196" s="7" t="s">
        <v>72</v>
      </c>
      <c r="B196" s="69" t="s">
        <v>41</v>
      </c>
      <c r="C196" s="1" t="s">
        <v>2</v>
      </c>
      <c r="D196" s="1" t="s">
        <v>13</v>
      </c>
      <c r="E196" s="1" t="s">
        <v>20</v>
      </c>
      <c r="F196" s="1" t="s">
        <v>113</v>
      </c>
      <c r="G196" s="1" t="s">
        <v>148</v>
      </c>
      <c r="H196" s="1" t="s">
        <v>164</v>
      </c>
      <c r="I196" s="13" t="s">
        <v>71</v>
      </c>
      <c r="J196" s="120">
        <f>J197</f>
        <v>6526818</v>
      </c>
      <c r="K196" s="120">
        <f t="shared" si="72"/>
        <v>6662498.7699999996</v>
      </c>
      <c r="L196" s="120">
        <f t="shared" si="72"/>
        <v>6834240.8800000008</v>
      </c>
    </row>
    <row r="197" spans="1:12">
      <c r="A197" s="11" t="s">
        <v>75</v>
      </c>
      <c r="B197" s="69" t="s">
        <v>41</v>
      </c>
      <c r="C197" s="1" t="s">
        <v>2</v>
      </c>
      <c r="D197" s="1" t="s">
        <v>13</v>
      </c>
      <c r="E197" s="1" t="s">
        <v>20</v>
      </c>
      <c r="F197" s="1" t="s">
        <v>113</v>
      </c>
      <c r="G197" s="1" t="s">
        <v>148</v>
      </c>
      <c r="H197" s="1" t="s">
        <v>164</v>
      </c>
      <c r="I197" s="13" t="s">
        <v>74</v>
      </c>
      <c r="J197" s="120">
        <f>12912018-6550200+165000</f>
        <v>6526818</v>
      </c>
      <c r="K197" s="120">
        <f>13106978.77-6609480+165000</f>
        <v>6662498.7699999996</v>
      </c>
      <c r="L197" s="120">
        <f>13306590.88-6637350+165000</f>
        <v>6834240.8800000008</v>
      </c>
    </row>
    <row r="198" spans="1:12" ht="63.75">
      <c r="A198" s="152" t="s">
        <v>313</v>
      </c>
      <c r="B198" s="69" t="s">
        <v>41</v>
      </c>
      <c r="C198" s="1" t="s">
        <v>2</v>
      </c>
      <c r="D198" s="1" t="s">
        <v>13</v>
      </c>
      <c r="E198" s="1" t="s">
        <v>20</v>
      </c>
      <c r="F198" s="1" t="s">
        <v>113</v>
      </c>
      <c r="G198" s="69" t="s">
        <v>148</v>
      </c>
      <c r="H198" s="92" t="s">
        <v>206</v>
      </c>
      <c r="I198" s="99"/>
      <c r="J198" s="120">
        <f>J199</f>
        <v>133522</v>
      </c>
      <c r="K198" s="120">
        <f t="shared" ref="K198:L199" si="73">K199</f>
        <v>138863</v>
      </c>
      <c r="L198" s="120">
        <f t="shared" si="73"/>
        <v>157554</v>
      </c>
    </row>
    <row r="199" spans="1:12" ht="25.5">
      <c r="A199" s="7" t="s">
        <v>72</v>
      </c>
      <c r="B199" s="69" t="s">
        <v>41</v>
      </c>
      <c r="C199" s="1" t="s">
        <v>2</v>
      </c>
      <c r="D199" s="1" t="s">
        <v>13</v>
      </c>
      <c r="E199" s="1" t="s">
        <v>20</v>
      </c>
      <c r="F199" s="1" t="s">
        <v>113</v>
      </c>
      <c r="G199" s="69" t="s">
        <v>148</v>
      </c>
      <c r="H199" s="92" t="s">
        <v>206</v>
      </c>
      <c r="I199" s="133" t="s">
        <v>71</v>
      </c>
      <c r="J199" s="120">
        <f>J200</f>
        <v>133522</v>
      </c>
      <c r="K199" s="120">
        <f t="shared" si="73"/>
        <v>138863</v>
      </c>
      <c r="L199" s="120">
        <f t="shared" si="73"/>
        <v>157554</v>
      </c>
    </row>
    <row r="200" spans="1:12" s="91" customFormat="1">
      <c r="A200" s="11" t="s">
        <v>75</v>
      </c>
      <c r="B200" s="69" t="s">
        <v>41</v>
      </c>
      <c r="C200" s="1" t="s">
        <v>2</v>
      </c>
      <c r="D200" s="1" t="s">
        <v>13</v>
      </c>
      <c r="E200" s="1" t="s">
        <v>20</v>
      </c>
      <c r="F200" s="1" t="s">
        <v>113</v>
      </c>
      <c r="G200" s="69" t="s">
        <v>148</v>
      </c>
      <c r="H200" s="92" t="s">
        <v>206</v>
      </c>
      <c r="I200" s="133" t="s">
        <v>74</v>
      </c>
      <c r="J200" s="120">
        <v>133522</v>
      </c>
      <c r="K200" s="120">
        <v>138863</v>
      </c>
      <c r="L200" s="120">
        <v>157554</v>
      </c>
    </row>
    <row r="201" spans="1:12" s="91" customFormat="1" ht="25.5">
      <c r="A201" s="150" t="s">
        <v>394</v>
      </c>
      <c r="B201" s="69" t="s">
        <v>41</v>
      </c>
      <c r="C201" s="148" t="s">
        <v>2</v>
      </c>
      <c r="D201" s="148" t="s">
        <v>13</v>
      </c>
      <c r="E201" s="148" t="s">
        <v>20</v>
      </c>
      <c r="F201" s="148" t="s">
        <v>113</v>
      </c>
      <c r="G201" s="148" t="s">
        <v>148</v>
      </c>
      <c r="H201" s="148" t="s">
        <v>243</v>
      </c>
      <c r="I201" s="146"/>
      <c r="J201" s="120">
        <f>J202</f>
        <v>4949039</v>
      </c>
      <c r="K201" s="120">
        <f t="shared" ref="K201:L202" si="74">K202</f>
        <v>4726418</v>
      </c>
      <c r="L201" s="120">
        <f t="shared" si="74"/>
        <v>4895270</v>
      </c>
    </row>
    <row r="202" spans="1:12" s="91" customFormat="1" ht="25.5">
      <c r="A202" s="150" t="s">
        <v>72</v>
      </c>
      <c r="B202" s="69" t="s">
        <v>41</v>
      </c>
      <c r="C202" s="148" t="s">
        <v>2</v>
      </c>
      <c r="D202" s="148" t="s">
        <v>13</v>
      </c>
      <c r="E202" s="148" t="s">
        <v>20</v>
      </c>
      <c r="F202" s="148" t="s">
        <v>113</v>
      </c>
      <c r="G202" s="148" t="s">
        <v>148</v>
      </c>
      <c r="H202" s="148" t="s">
        <v>243</v>
      </c>
      <c r="I202" s="146" t="s">
        <v>71</v>
      </c>
      <c r="J202" s="120">
        <f>J203</f>
        <v>4949039</v>
      </c>
      <c r="K202" s="120">
        <f t="shared" si="74"/>
        <v>4726418</v>
      </c>
      <c r="L202" s="120">
        <f t="shared" si="74"/>
        <v>4895270</v>
      </c>
    </row>
    <row r="203" spans="1:12" s="91" customFormat="1">
      <c r="A203" s="152" t="s">
        <v>75</v>
      </c>
      <c r="B203" s="69" t="s">
        <v>41</v>
      </c>
      <c r="C203" s="148" t="s">
        <v>2</v>
      </c>
      <c r="D203" s="148" t="s">
        <v>13</v>
      </c>
      <c r="E203" s="148" t="s">
        <v>20</v>
      </c>
      <c r="F203" s="148" t="s">
        <v>113</v>
      </c>
      <c r="G203" s="148" t="s">
        <v>148</v>
      </c>
      <c r="H203" s="148" t="s">
        <v>243</v>
      </c>
      <c r="I203" s="146" t="s">
        <v>74</v>
      </c>
      <c r="J203" s="120">
        <v>4949039</v>
      </c>
      <c r="K203" s="120">
        <v>4726418</v>
      </c>
      <c r="L203" s="120">
        <v>4895270</v>
      </c>
    </row>
    <row r="204" spans="1:12" s="91" customFormat="1" ht="25.5">
      <c r="A204" s="150" t="s">
        <v>395</v>
      </c>
      <c r="B204" s="69" t="s">
        <v>41</v>
      </c>
      <c r="C204" s="148" t="s">
        <v>2</v>
      </c>
      <c r="D204" s="148" t="s">
        <v>13</v>
      </c>
      <c r="E204" s="148" t="s">
        <v>20</v>
      </c>
      <c r="F204" s="148" t="s">
        <v>113</v>
      </c>
      <c r="G204" s="148" t="s">
        <v>148</v>
      </c>
      <c r="H204" s="148" t="s">
        <v>244</v>
      </c>
      <c r="I204" s="146"/>
      <c r="J204" s="120">
        <f>J205</f>
        <v>2094854</v>
      </c>
      <c r="K204" s="120">
        <f t="shared" ref="K204:L205" si="75">K205</f>
        <v>2000622</v>
      </c>
      <c r="L204" s="120">
        <f t="shared" si="75"/>
        <v>2072094</v>
      </c>
    </row>
    <row r="205" spans="1:12" s="91" customFormat="1" ht="25.5">
      <c r="A205" s="150" t="s">
        <v>72</v>
      </c>
      <c r="B205" s="69" t="s">
        <v>41</v>
      </c>
      <c r="C205" s="148" t="s">
        <v>2</v>
      </c>
      <c r="D205" s="148" t="s">
        <v>13</v>
      </c>
      <c r="E205" s="148" t="s">
        <v>20</v>
      </c>
      <c r="F205" s="148" t="s">
        <v>113</v>
      </c>
      <c r="G205" s="148" t="s">
        <v>148</v>
      </c>
      <c r="H205" s="148" t="s">
        <v>244</v>
      </c>
      <c r="I205" s="146" t="s">
        <v>71</v>
      </c>
      <c r="J205" s="120">
        <f>J206</f>
        <v>2094854</v>
      </c>
      <c r="K205" s="120">
        <f t="shared" si="75"/>
        <v>2000622</v>
      </c>
      <c r="L205" s="120">
        <f t="shared" si="75"/>
        <v>2072094</v>
      </c>
    </row>
    <row r="206" spans="1:12" s="91" customFormat="1">
      <c r="A206" s="152" t="s">
        <v>75</v>
      </c>
      <c r="B206" s="69" t="s">
        <v>41</v>
      </c>
      <c r="C206" s="148" t="s">
        <v>2</v>
      </c>
      <c r="D206" s="148" t="s">
        <v>13</v>
      </c>
      <c r="E206" s="148" t="s">
        <v>20</v>
      </c>
      <c r="F206" s="148" t="s">
        <v>113</v>
      </c>
      <c r="G206" s="148" t="s">
        <v>148</v>
      </c>
      <c r="H206" s="148" t="s">
        <v>244</v>
      </c>
      <c r="I206" s="146" t="s">
        <v>74</v>
      </c>
      <c r="J206" s="120">
        <v>2094854</v>
      </c>
      <c r="K206" s="120">
        <v>2000622</v>
      </c>
      <c r="L206" s="120">
        <v>2072094</v>
      </c>
    </row>
    <row r="207" spans="1:12" s="91" customFormat="1" ht="25.5">
      <c r="A207" s="2" t="s">
        <v>141</v>
      </c>
      <c r="B207" s="69" t="s">
        <v>41</v>
      </c>
      <c r="C207" s="1" t="s">
        <v>2</v>
      </c>
      <c r="D207" s="1" t="s">
        <v>13</v>
      </c>
      <c r="E207" s="1" t="s">
        <v>20</v>
      </c>
      <c r="F207" s="1" t="s">
        <v>44</v>
      </c>
      <c r="G207" s="1" t="s">
        <v>148</v>
      </c>
      <c r="H207" s="1" t="s">
        <v>149</v>
      </c>
      <c r="I207" s="13"/>
      <c r="J207" s="120">
        <f t="shared" ref="J207:L209" si="76">J208</f>
        <v>300000</v>
      </c>
      <c r="K207" s="120">
        <f t="shared" si="76"/>
        <v>300000</v>
      </c>
      <c r="L207" s="120">
        <f t="shared" si="76"/>
        <v>300000</v>
      </c>
    </row>
    <row r="208" spans="1:12" s="91" customFormat="1">
      <c r="A208" s="2" t="s">
        <v>88</v>
      </c>
      <c r="B208" s="69" t="s">
        <v>41</v>
      </c>
      <c r="C208" s="1" t="s">
        <v>2</v>
      </c>
      <c r="D208" s="1" t="s">
        <v>13</v>
      </c>
      <c r="E208" s="1" t="s">
        <v>20</v>
      </c>
      <c r="F208" s="1" t="s">
        <v>44</v>
      </c>
      <c r="G208" s="1" t="s">
        <v>148</v>
      </c>
      <c r="H208" s="1" t="s">
        <v>162</v>
      </c>
      <c r="I208" s="13"/>
      <c r="J208" s="120">
        <f t="shared" si="76"/>
        <v>300000</v>
      </c>
      <c r="K208" s="120">
        <f t="shared" si="76"/>
        <v>300000</v>
      </c>
      <c r="L208" s="120">
        <f t="shared" si="76"/>
        <v>300000</v>
      </c>
    </row>
    <row r="209" spans="1:12" s="91" customFormat="1" ht="25.5">
      <c r="A209" s="7" t="s">
        <v>72</v>
      </c>
      <c r="B209" s="69" t="s">
        <v>41</v>
      </c>
      <c r="C209" s="1" t="s">
        <v>2</v>
      </c>
      <c r="D209" s="1" t="s">
        <v>13</v>
      </c>
      <c r="E209" s="1" t="s">
        <v>20</v>
      </c>
      <c r="F209" s="1" t="s">
        <v>44</v>
      </c>
      <c r="G209" s="1" t="s">
        <v>148</v>
      </c>
      <c r="H209" s="1" t="s">
        <v>162</v>
      </c>
      <c r="I209" s="13" t="s">
        <v>71</v>
      </c>
      <c r="J209" s="120">
        <f t="shared" si="76"/>
        <v>300000</v>
      </c>
      <c r="K209" s="120">
        <f t="shared" si="76"/>
        <v>300000</v>
      </c>
      <c r="L209" s="120">
        <f t="shared" si="76"/>
        <v>300000</v>
      </c>
    </row>
    <row r="210" spans="1:12" s="91" customFormat="1">
      <c r="A210" s="11" t="s">
        <v>75</v>
      </c>
      <c r="B210" s="69" t="s">
        <v>41</v>
      </c>
      <c r="C210" s="1" t="s">
        <v>2</v>
      </c>
      <c r="D210" s="1" t="s">
        <v>13</v>
      </c>
      <c r="E210" s="1" t="s">
        <v>20</v>
      </c>
      <c r="F210" s="1" t="s">
        <v>44</v>
      </c>
      <c r="G210" s="1" t="s">
        <v>148</v>
      </c>
      <c r="H210" s="1" t="s">
        <v>162</v>
      </c>
      <c r="I210" s="13" t="s">
        <v>74</v>
      </c>
      <c r="J210" s="120">
        <v>300000</v>
      </c>
      <c r="K210" s="120">
        <v>300000</v>
      </c>
      <c r="L210" s="120">
        <v>300000</v>
      </c>
    </row>
    <row r="211" spans="1:12" s="172" customFormat="1" ht="38.25">
      <c r="A211" s="128" t="s">
        <v>286</v>
      </c>
      <c r="B211" s="69" t="s">
        <v>41</v>
      </c>
      <c r="C211" s="148" t="s">
        <v>2</v>
      </c>
      <c r="D211" s="148" t="s">
        <v>13</v>
      </c>
      <c r="E211" s="148" t="s">
        <v>3</v>
      </c>
      <c r="F211" s="148" t="s">
        <v>70</v>
      </c>
      <c r="G211" s="148" t="s">
        <v>148</v>
      </c>
      <c r="H211" s="148" t="s">
        <v>149</v>
      </c>
      <c r="I211" s="146"/>
      <c r="J211" s="120">
        <f t="shared" ref="J211:L213" si="77">J212</f>
        <v>5000000</v>
      </c>
      <c r="K211" s="120">
        <f t="shared" si="77"/>
        <v>0</v>
      </c>
      <c r="L211" s="120">
        <f t="shared" si="77"/>
        <v>0</v>
      </c>
    </row>
    <row r="212" spans="1:12" s="172" customFormat="1">
      <c r="A212" s="152" t="s">
        <v>240</v>
      </c>
      <c r="B212" s="69" t="s">
        <v>41</v>
      </c>
      <c r="C212" s="148" t="s">
        <v>2</v>
      </c>
      <c r="D212" s="148" t="s">
        <v>13</v>
      </c>
      <c r="E212" s="148" t="s">
        <v>3</v>
      </c>
      <c r="F212" s="148" t="s">
        <v>70</v>
      </c>
      <c r="G212" s="148" t="s">
        <v>148</v>
      </c>
      <c r="H212" s="148" t="s">
        <v>241</v>
      </c>
      <c r="I212" s="146"/>
      <c r="J212" s="161">
        <f t="shared" si="77"/>
        <v>5000000</v>
      </c>
      <c r="K212" s="161">
        <f t="shared" si="77"/>
        <v>0</v>
      </c>
      <c r="L212" s="161">
        <f t="shared" si="77"/>
        <v>0</v>
      </c>
    </row>
    <row r="213" spans="1:12" s="172" customFormat="1" ht="25.5">
      <c r="A213" s="150" t="s">
        <v>72</v>
      </c>
      <c r="B213" s="69" t="s">
        <v>41</v>
      </c>
      <c r="C213" s="148" t="s">
        <v>2</v>
      </c>
      <c r="D213" s="148" t="s">
        <v>13</v>
      </c>
      <c r="E213" s="148" t="s">
        <v>3</v>
      </c>
      <c r="F213" s="148" t="s">
        <v>70</v>
      </c>
      <c r="G213" s="148" t="s">
        <v>148</v>
      </c>
      <c r="H213" s="148" t="s">
        <v>241</v>
      </c>
      <c r="I213" s="146" t="s">
        <v>71</v>
      </c>
      <c r="J213" s="161">
        <f t="shared" si="77"/>
        <v>5000000</v>
      </c>
      <c r="K213" s="161">
        <f t="shared" si="77"/>
        <v>0</v>
      </c>
      <c r="L213" s="161">
        <f t="shared" si="77"/>
        <v>0</v>
      </c>
    </row>
    <row r="214" spans="1:12" s="91" customFormat="1">
      <c r="A214" s="152" t="s">
        <v>75</v>
      </c>
      <c r="B214" s="69" t="s">
        <v>41</v>
      </c>
      <c r="C214" s="148" t="s">
        <v>2</v>
      </c>
      <c r="D214" s="148" t="s">
        <v>13</v>
      </c>
      <c r="E214" s="148" t="s">
        <v>3</v>
      </c>
      <c r="F214" s="148" t="s">
        <v>70</v>
      </c>
      <c r="G214" s="148" t="s">
        <v>148</v>
      </c>
      <c r="H214" s="148" t="s">
        <v>241</v>
      </c>
      <c r="I214" s="146" t="s">
        <v>74</v>
      </c>
      <c r="J214" s="161">
        <v>5000000</v>
      </c>
      <c r="K214" s="161"/>
      <c r="L214" s="161"/>
    </row>
    <row r="215" spans="1:12">
      <c r="A215" s="11"/>
      <c r="B215" s="135"/>
      <c r="C215" s="1"/>
      <c r="D215" s="1"/>
      <c r="E215" s="1"/>
      <c r="F215" s="1"/>
      <c r="G215" s="1"/>
      <c r="H215" s="1"/>
      <c r="I215" s="13"/>
      <c r="J215" s="120"/>
      <c r="K215" s="120"/>
      <c r="L215" s="120"/>
    </row>
    <row r="216" spans="1:12">
      <c r="A216" s="4" t="s">
        <v>199</v>
      </c>
      <c r="B216" s="14" t="s">
        <v>41</v>
      </c>
      <c r="C216" s="14" t="s">
        <v>2</v>
      </c>
      <c r="D216" s="14" t="s">
        <v>2</v>
      </c>
      <c r="E216" s="14"/>
      <c r="F216" s="14"/>
      <c r="G216" s="14"/>
      <c r="H216" s="14"/>
      <c r="I216" s="30"/>
      <c r="J216" s="116">
        <f>J217</f>
        <v>5112590.37</v>
      </c>
      <c r="K216" s="116">
        <f t="shared" ref="K216:L216" si="78">K217</f>
        <v>5138948.13</v>
      </c>
      <c r="L216" s="116">
        <f t="shared" si="78"/>
        <v>5355890.47</v>
      </c>
    </row>
    <row r="217" spans="1:12" ht="25.5">
      <c r="A217" s="149" t="s">
        <v>285</v>
      </c>
      <c r="B217" s="69" t="s">
        <v>41</v>
      </c>
      <c r="C217" s="69" t="s">
        <v>2</v>
      </c>
      <c r="D217" s="69" t="s">
        <v>2</v>
      </c>
      <c r="E217" s="69" t="s">
        <v>20</v>
      </c>
      <c r="F217" s="69" t="s">
        <v>70</v>
      </c>
      <c r="G217" s="69" t="s">
        <v>148</v>
      </c>
      <c r="H217" s="69" t="s">
        <v>149</v>
      </c>
      <c r="I217" s="99"/>
      <c r="J217" s="120">
        <f>+J218</f>
        <v>5112590.37</v>
      </c>
      <c r="K217" s="120">
        <f t="shared" ref="K217:L217" si="79">+K218</f>
        <v>5138948.13</v>
      </c>
      <c r="L217" s="120">
        <f t="shared" si="79"/>
        <v>5355890.47</v>
      </c>
    </row>
    <row r="218" spans="1:12" s="91" customFormat="1" ht="25.5">
      <c r="A218" s="2" t="s">
        <v>147</v>
      </c>
      <c r="B218" s="69" t="s">
        <v>41</v>
      </c>
      <c r="C218" s="69" t="s">
        <v>2</v>
      </c>
      <c r="D218" s="69" t="s">
        <v>2</v>
      </c>
      <c r="E218" s="69" t="s">
        <v>20</v>
      </c>
      <c r="F218" s="92" t="s">
        <v>67</v>
      </c>
      <c r="G218" s="69" t="s">
        <v>148</v>
      </c>
      <c r="H218" s="69" t="s">
        <v>149</v>
      </c>
      <c r="I218" s="99"/>
      <c r="J218" s="120">
        <f>J222+J225+J231+J228+J219</f>
        <v>5112590.37</v>
      </c>
      <c r="K218" s="120">
        <f t="shared" ref="K218:L218" si="80">K222+K225+K231+K228+K219</f>
        <v>5138948.13</v>
      </c>
      <c r="L218" s="120">
        <f t="shared" si="80"/>
        <v>5355890.47</v>
      </c>
    </row>
    <row r="219" spans="1:12" s="91" customFormat="1" ht="25.5">
      <c r="A219" s="152" t="s">
        <v>208</v>
      </c>
      <c r="B219" s="69" t="s">
        <v>41</v>
      </c>
      <c r="C219" s="69" t="s">
        <v>2</v>
      </c>
      <c r="D219" s="69" t="s">
        <v>2</v>
      </c>
      <c r="E219" s="148" t="s">
        <v>20</v>
      </c>
      <c r="F219" s="148" t="s">
        <v>67</v>
      </c>
      <c r="G219" s="148" t="s">
        <v>148</v>
      </c>
      <c r="H219" s="148" t="s">
        <v>207</v>
      </c>
      <c r="I219" s="146"/>
      <c r="J219" s="120">
        <f t="shared" ref="J219:L220" si="81">J220</f>
        <v>100000</v>
      </c>
      <c r="K219" s="120">
        <f t="shared" si="81"/>
        <v>100000</v>
      </c>
      <c r="L219" s="120">
        <f t="shared" si="81"/>
        <v>100000</v>
      </c>
    </row>
    <row r="220" spans="1:12" s="91" customFormat="1" ht="25.5">
      <c r="A220" s="150" t="s">
        <v>72</v>
      </c>
      <c r="B220" s="69" t="s">
        <v>41</v>
      </c>
      <c r="C220" s="69" t="s">
        <v>2</v>
      </c>
      <c r="D220" s="69" t="s">
        <v>2</v>
      </c>
      <c r="E220" s="148" t="s">
        <v>20</v>
      </c>
      <c r="F220" s="148" t="s">
        <v>67</v>
      </c>
      <c r="G220" s="148" t="s">
        <v>148</v>
      </c>
      <c r="H220" s="148" t="s">
        <v>207</v>
      </c>
      <c r="I220" s="146" t="s">
        <v>71</v>
      </c>
      <c r="J220" s="120">
        <f t="shared" si="81"/>
        <v>100000</v>
      </c>
      <c r="K220" s="120">
        <f t="shared" si="81"/>
        <v>100000</v>
      </c>
      <c r="L220" s="120">
        <f t="shared" si="81"/>
        <v>100000</v>
      </c>
    </row>
    <row r="221" spans="1:12">
      <c r="A221" s="152" t="s">
        <v>75</v>
      </c>
      <c r="B221" s="69" t="s">
        <v>41</v>
      </c>
      <c r="C221" s="69" t="s">
        <v>2</v>
      </c>
      <c r="D221" s="69" t="s">
        <v>2</v>
      </c>
      <c r="E221" s="148" t="s">
        <v>20</v>
      </c>
      <c r="F221" s="148" t="s">
        <v>67</v>
      </c>
      <c r="G221" s="148" t="s">
        <v>148</v>
      </c>
      <c r="H221" s="148" t="s">
        <v>207</v>
      </c>
      <c r="I221" s="146" t="s">
        <v>74</v>
      </c>
      <c r="J221" s="120">
        <v>100000</v>
      </c>
      <c r="K221" s="120">
        <v>100000</v>
      </c>
      <c r="L221" s="120">
        <v>100000</v>
      </c>
    </row>
    <row r="222" spans="1:12" ht="25.5">
      <c r="A222" s="2" t="s">
        <v>89</v>
      </c>
      <c r="B222" s="69" t="s">
        <v>41</v>
      </c>
      <c r="C222" s="69" t="s">
        <v>2</v>
      </c>
      <c r="D222" s="69" t="s">
        <v>2</v>
      </c>
      <c r="E222" s="69" t="s">
        <v>20</v>
      </c>
      <c r="F222" s="92" t="s">
        <v>67</v>
      </c>
      <c r="G222" s="69" t="s">
        <v>148</v>
      </c>
      <c r="H222" s="69" t="s">
        <v>165</v>
      </c>
      <c r="I222" s="99"/>
      <c r="J222" s="120">
        <f>J223</f>
        <v>2961502</v>
      </c>
      <c r="K222" s="120">
        <f t="shared" ref="K222:L223" si="82">K223</f>
        <v>2994036.51</v>
      </c>
      <c r="L222" s="120">
        <f t="shared" si="82"/>
        <v>3144379.58</v>
      </c>
    </row>
    <row r="223" spans="1:12" ht="25.5">
      <c r="A223" s="7" t="s">
        <v>72</v>
      </c>
      <c r="B223" s="69" t="s">
        <v>41</v>
      </c>
      <c r="C223" s="69" t="s">
        <v>2</v>
      </c>
      <c r="D223" s="69" t="s">
        <v>2</v>
      </c>
      <c r="E223" s="69" t="s">
        <v>20</v>
      </c>
      <c r="F223" s="92" t="s">
        <v>67</v>
      </c>
      <c r="G223" s="69" t="s">
        <v>148</v>
      </c>
      <c r="H223" s="69" t="s">
        <v>165</v>
      </c>
      <c r="I223" s="99" t="s">
        <v>71</v>
      </c>
      <c r="J223" s="120">
        <f>J224</f>
        <v>2961502</v>
      </c>
      <c r="K223" s="120">
        <f t="shared" si="82"/>
        <v>2994036.51</v>
      </c>
      <c r="L223" s="120">
        <f t="shared" si="82"/>
        <v>3144379.58</v>
      </c>
    </row>
    <row r="224" spans="1:12">
      <c r="A224" s="11" t="s">
        <v>75</v>
      </c>
      <c r="B224" s="69" t="s">
        <v>41</v>
      </c>
      <c r="C224" s="69" t="s">
        <v>2</v>
      </c>
      <c r="D224" s="69" t="s">
        <v>2</v>
      </c>
      <c r="E224" s="69" t="s">
        <v>20</v>
      </c>
      <c r="F224" s="92" t="s">
        <v>67</v>
      </c>
      <c r="G224" s="69" t="s">
        <v>148</v>
      </c>
      <c r="H224" s="69" t="s">
        <v>165</v>
      </c>
      <c r="I224" s="99" t="s">
        <v>74</v>
      </c>
      <c r="J224" s="120">
        <v>2961502</v>
      </c>
      <c r="K224" s="120">
        <v>2994036.51</v>
      </c>
      <c r="L224" s="120">
        <v>3144379.58</v>
      </c>
    </row>
    <row r="225" spans="1:12">
      <c r="A225" s="2" t="s">
        <v>101</v>
      </c>
      <c r="B225" s="69" t="s">
        <v>41</v>
      </c>
      <c r="C225" s="69" t="s">
        <v>2</v>
      </c>
      <c r="D225" s="69" t="s">
        <v>2</v>
      </c>
      <c r="E225" s="69" t="s">
        <v>20</v>
      </c>
      <c r="F225" s="92" t="s">
        <v>67</v>
      </c>
      <c r="G225" s="69" t="s">
        <v>148</v>
      </c>
      <c r="H225" s="69" t="s">
        <v>166</v>
      </c>
      <c r="I225" s="99"/>
      <c r="J225" s="120">
        <f>J226</f>
        <v>80000</v>
      </c>
      <c r="K225" s="120">
        <f t="shared" ref="K225:L226" si="83">K226</f>
        <v>80000</v>
      </c>
      <c r="L225" s="120">
        <f t="shared" si="83"/>
        <v>80000</v>
      </c>
    </row>
    <row r="226" spans="1:12" ht="25.5">
      <c r="A226" s="7" t="s">
        <v>72</v>
      </c>
      <c r="B226" s="69" t="s">
        <v>41</v>
      </c>
      <c r="C226" s="69" t="s">
        <v>2</v>
      </c>
      <c r="D226" s="69" t="s">
        <v>2</v>
      </c>
      <c r="E226" s="69" t="s">
        <v>20</v>
      </c>
      <c r="F226" s="92" t="s">
        <v>67</v>
      </c>
      <c r="G226" s="69" t="s">
        <v>148</v>
      </c>
      <c r="H226" s="69" t="s">
        <v>166</v>
      </c>
      <c r="I226" s="99" t="s">
        <v>71</v>
      </c>
      <c r="J226" s="120">
        <f>J227</f>
        <v>80000</v>
      </c>
      <c r="K226" s="120">
        <f t="shared" si="83"/>
        <v>80000</v>
      </c>
      <c r="L226" s="120">
        <f t="shared" si="83"/>
        <v>80000</v>
      </c>
    </row>
    <row r="227" spans="1:12" s="147" customFormat="1">
      <c r="A227" s="11" t="s">
        <v>75</v>
      </c>
      <c r="B227" s="69" t="s">
        <v>41</v>
      </c>
      <c r="C227" s="69" t="s">
        <v>2</v>
      </c>
      <c r="D227" s="69" t="s">
        <v>2</v>
      </c>
      <c r="E227" s="69" t="s">
        <v>20</v>
      </c>
      <c r="F227" s="92" t="s">
        <v>67</v>
      </c>
      <c r="G227" s="69" t="s">
        <v>148</v>
      </c>
      <c r="H227" s="69" t="s">
        <v>166</v>
      </c>
      <c r="I227" s="99" t="s">
        <v>74</v>
      </c>
      <c r="J227" s="120">
        <v>80000</v>
      </c>
      <c r="K227" s="120">
        <v>80000</v>
      </c>
      <c r="L227" s="120">
        <v>80000</v>
      </c>
    </row>
    <row r="228" spans="1:12" s="147" customFormat="1" ht="25.5">
      <c r="A228" s="149" t="s">
        <v>377</v>
      </c>
      <c r="B228" s="69" t="s">
        <v>41</v>
      </c>
      <c r="C228" s="69" t="s">
        <v>2</v>
      </c>
      <c r="D228" s="69" t="s">
        <v>2</v>
      </c>
      <c r="E228" s="69" t="s">
        <v>20</v>
      </c>
      <c r="F228" s="160" t="s">
        <v>67</v>
      </c>
      <c r="G228" s="69" t="s">
        <v>148</v>
      </c>
      <c r="H228" s="160" t="s">
        <v>226</v>
      </c>
      <c r="I228" s="162"/>
      <c r="J228" s="120">
        <f>J229</f>
        <v>300000</v>
      </c>
      <c r="K228" s="120">
        <f t="shared" ref="K228:L229" si="84">K229</f>
        <v>300000</v>
      </c>
      <c r="L228" s="120">
        <f t="shared" si="84"/>
        <v>300000</v>
      </c>
    </row>
    <row r="229" spans="1:12" s="147" customFormat="1" ht="25.5">
      <c r="A229" s="150" t="s">
        <v>72</v>
      </c>
      <c r="B229" s="69" t="s">
        <v>41</v>
      </c>
      <c r="C229" s="69" t="s">
        <v>2</v>
      </c>
      <c r="D229" s="69" t="s">
        <v>2</v>
      </c>
      <c r="E229" s="69" t="s">
        <v>20</v>
      </c>
      <c r="F229" s="160" t="s">
        <v>67</v>
      </c>
      <c r="G229" s="69" t="s">
        <v>148</v>
      </c>
      <c r="H229" s="160" t="s">
        <v>226</v>
      </c>
      <c r="I229" s="162" t="s">
        <v>71</v>
      </c>
      <c r="J229" s="120">
        <f>J230</f>
        <v>300000</v>
      </c>
      <c r="K229" s="120">
        <f t="shared" si="84"/>
        <v>300000</v>
      </c>
      <c r="L229" s="120">
        <f t="shared" si="84"/>
        <v>300000</v>
      </c>
    </row>
    <row r="230" spans="1:12">
      <c r="A230" s="152" t="s">
        <v>75</v>
      </c>
      <c r="B230" s="69" t="s">
        <v>41</v>
      </c>
      <c r="C230" s="69" t="s">
        <v>2</v>
      </c>
      <c r="D230" s="69" t="s">
        <v>2</v>
      </c>
      <c r="E230" s="69" t="s">
        <v>20</v>
      </c>
      <c r="F230" s="160" t="s">
        <v>67</v>
      </c>
      <c r="G230" s="69" t="s">
        <v>148</v>
      </c>
      <c r="H230" s="160" t="s">
        <v>226</v>
      </c>
      <c r="I230" s="162" t="s">
        <v>74</v>
      </c>
      <c r="J230" s="120">
        <v>300000</v>
      </c>
      <c r="K230" s="120">
        <v>300000</v>
      </c>
      <c r="L230" s="120">
        <v>300000</v>
      </c>
    </row>
    <row r="231" spans="1:12" ht="38.25">
      <c r="A231" s="149" t="s">
        <v>397</v>
      </c>
      <c r="B231" s="69" t="s">
        <v>41</v>
      </c>
      <c r="C231" s="69" t="s">
        <v>2</v>
      </c>
      <c r="D231" s="69" t="s">
        <v>2</v>
      </c>
      <c r="E231" s="69" t="s">
        <v>20</v>
      </c>
      <c r="F231" s="92" t="s">
        <v>67</v>
      </c>
      <c r="G231" s="69" t="s">
        <v>148</v>
      </c>
      <c r="H231" s="69" t="s">
        <v>167</v>
      </c>
      <c r="I231" s="99"/>
      <c r="J231" s="120">
        <f>J232</f>
        <v>1671088.37</v>
      </c>
      <c r="K231" s="120">
        <f t="shared" ref="K231:L232" si="85">K232</f>
        <v>1664911.62</v>
      </c>
      <c r="L231" s="120">
        <f t="shared" si="85"/>
        <v>1731510.89</v>
      </c>
    </row>
    <row r="232" spans="1:12" ht="25.5">
      <c r="A232" s="7" t="s">
        <v>72</v>
      </c>
      <c r="B232" s="69" t="s">
        <v>41</v>
      </c>
      <c r="C232" s="69" t="s">
        <v>2</v>
      </c>
      <c r="D232" s="69" t="s">
        <v>2</v>
      </c>
      <c r="E232" s="69" t="s">
        <v>20</v>
      </c>
      <c r="F232" s="92" t="s">
        <v>67</v>
      </c>
      <c r="G232" s="69" t="s">
        <v>148</v>
      </c>
      <c r="H232" s="69" t="s">
        <v>167</v>
      </c>
      <c r="I232" s="99" t="s">
        <v>71</v>
      </c>
      <c r="J232" s="120">
        <f>J233</f>
        <v>1671088.37</v>
      </c>
      <c r="K232" s="120">
        <f t="shared" si="85"/>
        <v>1664911.62</v>
      </c>
      <c r="L232" s="120">
        <f t="shared" si="85"/>
        <v>1731510.89</v>
      </c>
    </row>
    <row r="233" spans="1:12">
      <c r="A233" s="11" t="s">
        <v>75</v>
      </c>
      <c r="B233" s="69" t="s">
        <v>41</v>
      </c>
      <c r="C233" s="69" t="s">
        <v>2</v>
      </c>
      <c r="D233" s="69" t="s">
        <v>2</v>
      </c>
      <c r="E233" s="69" t="s">
        <v>20</v>
      </c>
      <c r="F233" s="92" t="s">
        <v>67</v>
      </c>
      <c r="G233" s="69" t="s">
        <v>148</v>
      </c>
      <c r="H233" s="69" t="s">
        <v>167</v>
      </c>
      <c r="I233" s="99" t="s">
        <v>74</v>
      </c>
      <c r="J233" s="120">
        <v>1671088.37</v>
      </c>
      <c r="K233" s="120">
        <v>1664911.62</v>
      </c>
      <c r="L233" s="120">
        <v>1731510.89</v>
      </c>
    </row>
    <row r="234" spans="1:12">
      <c r="A234" s="2"/>
      <c r="B234" s="42"/>
      <c r="C234" s="1"/>
      <c r="D234" s="1"/>
      <c r="E234" s="1"/>
      <c r="F234" s="1"/>
      <c r="G234" s="1"/>
      <c r="H234" s="1"/>
      <c r="I234" s="13"/>
      <c r="J234" s="87"/>
      <c r="K234" s="159"/>
      <c r="L234" s="159"/>
    </row>
    <row r="235" spans="1:12">
      <c r="A235" s="4" t="s">
        <v>35</v>
      </c>
      <c r="B235" s="14" t="s">
        <v>41</v>
      </c>
      <c r="C235" s="15" t="s">
        <v>2</v>
      </c>
      <c r="D235" s="15" t="s">
        <v>14</v>
      </c>
      <c r="E235" s="15"/>
      <c r="F235" s="15"/>
      <c r="G235" s="15"/>
      <c r="H235" s="15"/>
      <c r="I235" s="28"/>
      <c r="J235" s="116">
        <f>J236+J255</f>
        <v>18453899</v>
      </c>
      <c r="K235" s="116">
        <f>K236+K255</f>
        <v>18629498.530000001</v>
      </c>
      <c r="L235" s="116">
        <f>L236+L255</f>
        <v>18706853.510000002</v>
      </c>
    </row>
    <row r="236" spans="1:12" ht="25.5">
      <c r="A236" s="149" t="s">
        <v>285</v>
      </c>
      <c r="B236" s="69" t="s">
        <v>41</v>
      </c>
      <c r="C236" s="1" t="s">
        <v>2</v>
      </c>
      <c r="D236" s="1" t="s">
        <v>14</v>
      </c>
      <c r="E236" s="1" t="s">
        <v>20</v>
      </c>
      <c r="F236" s="1" t="s">
        <v>70</v>
      </c>
      <c r="G236" s="1" t="s">
        <v>148</v>
      </c>
      <c r="H236" s="1" t="s">
        <v>149</v>
      </c>
      <c r="I236" s="13"/>
      <c r="J236" s="120">
        <f>J237+J244+J251</f>
        <v>255000</v>
      </c>
      <c r="K236" s="120">
        <f>K237+K244+K251</f>
        <v>255000</v>
      </c>
      <c r="L236" s="120">
        <f>L237+L244+L251</f>
        <v>255000</v>
      </c>
    </row>
    <row r="237" spans="1:12" ht="25.5">
      <c r="A237" s="2" t="s">
        <v>141</v>
      </c>
      <c r="B237" s="69" t="s">
        <v>41</v>
      </c>
      <c r="C237" s="1" t="s">
        <v>2</v>
      </c>
      <c r="D237" s="1" t="s">
        <v>14</v>
      </c>
      <c r="E237" s="1" t="s">
        <v>20</v>
      </c>
      <c r="F237" s="1" t="s">
        <v>44</v>
      </c>
      <c r="G237" s="1" t="s">
        <v>148</v>
      </c>
      <c r="H237" s="1" t="s">
        <v>149</v>
      </c>
      <c r="I237" s="13"/>
      <c r="J237" s="120">
        <f>J238</f>
        <v>100000</v>
      </c>
      <c r="K237" s="120">
        <f t="shared" ref="K237:L237" si="86">K238</f>
        <v>100000</v>
      </c>
      <c r="L237" s="120">
        <f t="shared" si="86"/>
        <v>100000</v>
      </c>
    </row>
    <row r="238" spans="1:12">
      <c r="A238" s="2" t="s">
        <v>88</v>
      </c>
      <c r="B238" s="69" t="s">
        <v>41</v>
      </c>
      <c r="C238" s="1" t="s">
        <v>2</v>
      </c>
      <c r="D238" s="1" t="s">
        <v>14</v>
      </c>
      <c r="E238" s="1" t="s">
        <v>20</v>
      </c>
      <c r="F238" s="1" t="s">
        <v>44</v>
      </c>
      <c r="G238" s="1" t="s">
        <v>148</v>
      </c>
      <c r="H238" s="1" t="s">
        <v>162</v>
      </c>
      <c r="I238" s="13"/>
      <c r="J238" s="120">
        <f>+J239+J241</f>
        <v>100000</v>
      </c>
      <c r="K238" s="120">
        <f t="shared" ref="K238:L238" si="87">+K239+K241</f>
        <v>100000</v>
      </c>
      <c r="L238" s="120">
        <f t="shared" si="87"/>
        <v>100000</v>
      </c>
    </row>
    <row r="239" spans="1:12" ht="25.5">
      <c r="A239" s="157" t="s">
        <v>260</v>
      </c>
      <c r="B239" s="69" t="s">
        <v>41</v>
      </c>
      <c r="C239" s="1" t="s">
        <v>2</v>
      </c>
      <c r="D239" s="1" t="s">
        <v>14</v>
      </c>
      <c r="E239" s="1" t="s">
        <v>20</v>
      </c>
      <c r="F239" s="1" t="s">
        <v>44</v>
      </c>
      <c r="G239" s="1" t="s">
        <v>148</v>
      </c>
      <c r="H239" s="1" t="s">
        <v>162</v>
      </c>
      <c r="I239" s="13" t="s">
        <v>94</v>
      </c>
      <c r="J239" s="120">
        <f>J240</f>
        <v>50000</v>
      </c>
      <c r="K239" s="120">
        <f t="shared" ref="K239:L239" si="88">K240</f>
        <v>50000</v>
      </c>
      <c r="L239" s="120">
        <f t="shared" si="88"/>
        <v>50000</v>
      </c>
    </row>
    <row r="240" spans="1:12" ht="25.5">
      <c r="A240" s="81" t="s">
        <v>98</v>
      </c>
      <c r="B240" s="69" t="s">
        <v>41</v>
      </c>
      <c r="C240" s="1" t="s">
        <v>2</v>
      </c>
      <c r="D240" s="1" t="s">
        <v>14</v>
      </c>
      <c r="E240" s="1" t="s">
        <v>20</v>
      </c>
      <c r="F240" s="1" t="s">
        <v>44</v>
      </c>
      <c r="G240" s="1" t="s">
        <v>148</v>
      </c>
      <c r="H240" s="1" t="s">
        <v>162</v>
      </c>
      <c r="I240" s="13" t="s">
        <v>95</v>
      </c>
      <c r="J240" s="120">
        <v>50000</v>
      </c>
      <c r="K240" s="120">
        <v>50000</v>
      </c>
      <c r="L240" s="120">
        <v>50000</v>
      </c>
    </row>
    <row r="241" spans="1:12" s="147" customFormat="1">
      <c r="A241" s="9" t="s">
        <v>100</v>
      </c>
      <c r="B241" s="69" t="s">
        <v>41</v>
      </c>
      <c r="C241" s="1" t="s">
        <v>2</v>
      </c>
      <c r="D241" s="1" t="s">
        <v>14</v>
      </c>
      <c r="E241" s="1" t="s">
        <v>20</v>
      </c>
      <c r="F241" s="1" t="s">
        <v>44</v>
      </c>
      <c r="G241" s="1" t="s">
        <v>148</v>
      </c>
      <c r="H241" s="1" t="s">
        <v>162</v>
      </c>
      <c r="I241" s="13" t="s">
        <v>99</v>
      </c>
      <c r="J241" s="120">
        <f>+J242+J243</f>
        <v>50000</v>
      </c>
      <c r="K241" s="120">
        <f t="shared" ref="K241:L241" si="89">+K242+K243</f>
        <v>50000</v>
      </c>
      <c r="L241" s="120">
        <f t="shared" si="89"/>
        <v>50000</v>
      </c>
    </row>
    <row r="242" spans="1:12">
      <c r="A242" s="141" t="s">
        <v>223</v>
      </c>
      <c r="B242" s="69" t="s">
        <v>41</v>
      </c>
      <c r="C242" s="148" t="s">
        <v>2</v>
      </c>
      <c r="D242" s="148" t="s">
        <v>14</v>
      </c>
      <c r="E242" s="148" t="s">
        <v>20</v>
      </c>
      <c r="F242" s="148" t="s">
        <v>44</v>
      </c>
      <c r="G242" s="148" t="s">
        <v>148</v>
      </c>
      <c r="H242" s="148" t="s">
        <v>162</v>
      </c>
      <c r="I242" s="146" t="s">
        <v>222</v>
      </c>
      <c r="J242" s="120">
        <v>9200</v>
      </c>
      <c r="K242" s="120">
        <v>9200</v>
      </c>
      <c r="L242" s="120">
        <v>9200</v>
      </c>
    </row>
    <row r="243" spans="1:12">
      <c r="A243" s="81" t="s">
        <v>117</v>
      </c>
      <c r="B243" s="69" t="s">
        <v>41</v>
      </c>
      <c r="C243" s="1" t="s">
        <v>2</v>
      </c>
      <c r="D243" s="1" t="s">
        <v>14</v>
      </c>
      <c r="E243" s="1" t="s">
        <v>20</v>
      </c>
      <c r="F243" s="1" t="s">
        <v>44</v>
      </c>
      <c r="G243" s="1" t="s">
        <v>148</v>
      </c>
      <c r="H243" s="1" t="s">
        <v>162</v>
      </c>
      <c r="I243" s="13" t="s">
        <v>116</v>
      </c>
      <c r="J243" s="120">
        <v>40800</v>
      </c>
      <c r="K243" s="120">
        <v>40800</v>
      </c>
      <c r="L243" s="120">
        <v>40800</v>
      </c>
    </row>
    <row r="244" spans="1:12" ht="25.5">
      <c r="A244" s="2" t="s">
        <v>146</v>
      </c>
      <c r="B244" s="69" t="s">
        <v>41</v>
      </c>
      <c r="C244" s="1" t="s">
        <v>2</v>
      </c>
      <c r="D244" s="1" t="s">
        <v>14</v>
      </c>
      <c r="E244" s="1" t="s">
        <v>20</v>
      </c>
      <c r="F244" s="1" t="s">
        <v>114</v>
      </c>
      <c r="G244" s="1" t="s">
        <v>148</v>
      </c>
      <c r="H244" s="1" t="s">
        <v>149</v>
      </c>
      <c r="I244" s="13"/>
      <c r="J244" s="120">
        <f>J245</f>
        <v>135000</v>
      </c>
      <c r="K244" s="120">
        <f t="shared" ref="K244:L244" si="90">K245</f>
        <v>135000</v>
      </c>
      <c r="L244" s="120">
        <f t="shared" si="90"/>
        <v>135000</v>
      </c>
    </row>
    <row r="245" spans="1:12">
      <c r="A245" s="2" t="s">
        <v>88</v>
      </c>
      <c r="B245" s="69" t="s">
        <v>41</v>
      </c>
      <c r="C245" s="1" t="s">
        <v>2</v>
      </c>
      <c r="D245" s="1" t="s">
        <v>14</v>
      </c>
      <c r="E245" s="1" t="s">
        <v>20</v>
      </c>
      <c r="F245" s="1" t="s">
        <v>114</v>
      </c>
      <c r="G245" s="1" t="s">
        <v>148</v>
      </c>
      <c r="H245" s="1" t="s">
        <v>162</v>
      </c>
      <c r="I245" s="13"/>
      <c r="J245" s="120">
        <f>J246+J248</f>
        <v>135000</v>
      </c>
      <c r="K245" s="120">
        <f t="shared" ref="K245:L245" si="91">K246+K248</f>
        <v>135000</v>
      </c>
      <c r="L245" s="120">
        <f t="shared" si="91"/>
        <v>135000</v>
      </c>
    </row>
    <row r="246" spans="1:12" ht="25.5">
      <c r="A246" s="157" t="s">
        <v>260</v>
      </c>
      <c r="B246" s="69" t="s">
        <v>41</v>
      </c>
      <c r="C246" s="1" t="s">
        <v>2</v>
      </c>
      <c r="D246" s="1" t="s">
        <v>14</v>
      </c>
      <c r="E246" s="1" t="s">
        <v>20</v>
      </c>
      <c r="F246" s="1" t="s">
        <v>114</v>
      </c>
      <c r="G246" s="1" t="s">
        <v>148</v>
      </c>
      <c r="H246" s="1" t="s">
        <v>162</v>
      </c>
      <c r="I246" s="13" t="s">
        <v>94</v>
      </c>
      <c r="J246" s="120">
        <f t="shared" ref="J246:L246" si="92">J247</f>
        <v>30000</v>
      </c>
      <c r="K246" s="120">
        <f t="shared" si="92"/>
        <v>30000</v>
      </c>
      <c r="L246" s="120">
        <f t="shared" si="92"/>
        <v>30000</v>
      </c>
    </row>
    <row r="247" spans="1:12" s="147" customFormat="1" ht="25.5">
      <c r="A247" s="81" t="s">
        <v>98</v>
      </c>
      <c r="B247" s="69" t="s">
        <v>41</v>
      </c>
      <c r="C247" s="1" t="s">
        <v>2</v>
      </c>
      <c r="D247" s="1" t="s">
        <v>14</v>
      </c>
      <c r="E247" s="1" t="s">
        <v>20</v>
      </c>
      <c r="F247" s="1" t="s">
        <v>114</v>
      </c>
      <c r="G247" s="1" t="s">
        <v>148</v>
      </c>
      <c r="H247" s="1" t="s">
        <v>162</v>
      </c>
      <c r="I247" s="13" t="s">
        <v>95</v>
      </c>
      <c r="J247" s="120">
        <v>30000</v>
      </c>
      <c r="K247" s="120">
        <v>30000</v>
      </c>
      <c r="L247" s="120">
        <v>30000</v>
      </c>
    </row>
    <row r="248" spans="1:12" s="147" customFormat="1">
      <c r="A248" s="9" t="s">
        <v>100</v>
      </c>
      <c r="B248" s="69" t="s">
        <v>41</v>
      </c>
      <c r="C248" s="148" t="s">
        <v>2</v>
      </c>
      <c r="D248" s="148" t="s">
        <v>14</v>
      </c>
      <c r="E248" s="148" t="s">
        <v>20</v>
      </c>
      <c r="F248" s="148" t="s">
        <v>114</v>
      </c>
      <c r="G248" s="148" t="s">
        <v>148</v>
      </c>
      <c r="H248" s="148" t="s">
        <v>162</v>
      </c>
      <c r="I248" s="146" t="s">
        <v>99</v>
      </c>
      <c r="J248" s="120">
        <f>J249+J250</f>
        <v>105000</v>
      </c>
      <c r="K248" s="120">
        <f t="shared" ref="K248:L248" si="93">K249+K250</f>
        <v>105000</v>
      </c>
      <c r="L248" s="120">
        <f t="shared" si="93"/>
        <v>105000</v>
      </c>
    </row>
    <row r="249" spans="1:12" s="147" customFormat="1">
      <c r="A249" s="141" t="s">
        <v>223</v>
      </c>
      <c r="B249" s="69" t="s">
        <v>41</v>
      </c>
      <c r="C249" s="148" t="s">
        <v>2</v>
      </c>
      <c r="D249" s="148" t="s">
        <v>14</v>
      </c>
      <c r="E249" s="148" t="s">
        <v>20</v>
      </c>
      <c r="F249" s="148" t="s">
        <v>114</v>
      </c>
      <c r="G249" s="148" t="s">
        <v>148</v>
      </c>
      <c r="H249" s="148" t="s">
        <v>162</v>
      </c>
      <c r="I249" s="146" t="s">
        <v>222</v>
      </c>
      <c r="J249" s="120">
        <v>25000</v>
      </c>
      <c r="K249" s="120">
        <v>25000</v>
      </c>
      <c r="L249" s="120">
        <v>25000</v>
      </c>
    </row>
    <row r="250" spans="1:12" s="147" customFormat="1">
      <c r="A250" s="156" t="s">
        <v>117</v>
      </c>
      <c r="B250" s="69" t="s">
        <v>41</v>
      </c>
      <c r="C250" s="148" t="s">
        <v>2</v>
      </c>
      <c r="D250" s="148" t="s">
        <v>14</v>
      </c>
      <c r="E250" s="148" t="s">
        <v>20</v>
      </c>
      <c r="F250" s="148" t="s">
        <v>114</v>
      </c>
      <c r="G250" s="148" t="s">
        <v>148</v>
      </c>
      <c r="H250" s="148" t="s">
        <v>162</v>
      </c>
      <c r="I250" s="146" t="s">
        <v>116</v>
      </c>
      <c r="J250" s="120">
        <v>80000</v>
      </c>
      <c r="K250" s="120">
        <v>80000</v>
      </c>
      <c r="L250" s="120">
        <v>80000</v>
      </c>
    </row>
    <row r="251" spans="1:12" ht="25.5">
      <c r="A251" s="2" t="s">
        <v>147</v>
      </c>
      <c r="B251" s="69" t="s">
        <v>41</v>
      </c>
      <c r="C251" s="1" t="s">
        <v>2</v>
      </c>
      <c r="D251" s="1" t="s">
        <v>14</v>
      </c>
      <c r="E251" s="1" t="s">
        <v>20</v>
      </c>
      <c r="F251" s="1" t="s">
        <v>67</v>
      </c>
      <c r="G251" s="1" t="s">
        <v>148</v>
      </c>
      <c r="H251" s="1" t="s">
        <v>149</v>
      </c>
      <c r="I251" s="13"/>
      <c r="J251" s="120">
        <f t="shared" ref="J251:L253" si="94">J252</f>
        <v>20000</v>
      </c>
      <c r="K251" s="120">
        <f t="shared" si="94"/>
        <v>20000</v>
      </c>
      <c r="L251" s="120">
        <f t="shared" si="94"/>
        <v>20000</v>
      </c>
    </row>
    <row r="252" spans="1:12" ht="15.75" customHeight="1">
      <c r="A252" s="2" t="s">
        <v>88</v>
      </c>
      <c r="B252" s="69" t="s">
        <v>41</v>
      </c>
      <c r="C252" s="69" t="s">
        <v>2</v>
      </c>
      <c r="D252" s="69" t="s">
        <v>14</v>
      </c>
      <c r="E252" s="69" t="s">
        <v>20</v>
      </c>
      <c r="F252" s="92" t="s">
        <v>67</v>
      </c>
      <c r="G252" s="69" t="s">
        <v>148</v>
      </c>
      <c r="H252" s="69" t="s">
        <v>162</v>
      </c>
      <c r="I252" s="99"/>
      <c r="J252" s="120">
        <f t="shared" si="94"/>
        <v>20000</v>
      </c>
      <c r="K252" s="120">
        <f t="shared" si="94"/>
        <v>20000</v>
      </c>
      <c r="L252" s="120">
        <f t="shared" si="94"/>
        <v>20000</v>
      </c>
    </row>
    <row r="253" spans="1:12">
      <c r="A253" s="11" t="s">
        <v>100</v>
      </c>
      <c r="B253" s="69" t="s">
        <v>41</v>
      </c>
      <c r="C253" s="69" t="s">
        <v>2</v>
      </c>
      <c r="D253" s="69" t="s">
        <v>14</v>
      </c>
      <c r="E253" s="69" t="s">
        <v>20</v>
      </c>
      <c r="F253" s="92" t="s">
        <v>67</v>
      </c>
      <c r="G253" s="69" t="s">
        <v>148</v>
      </c>
      <c r="H253" s="69" t="s">
        <v>162</v>
      </c>
      <c r="I253" s="133" t="s">
        <v>99</v>
      </c>
      <c r="J253" s="120">
        <f t="shared" si="94"/>
        <v>20000</v>
      </c>
      <c r="K253" s="120">
        <f t="shared" si="94"/>
        <v>20000</v>
      </c>
      <c r="L253" s="120">
        <f t="shared" si="94"/>
        <v>20000</v>
      </c>
    </row>
    <row r="254" spans="1:12" ht="25.5">
      <c r="A254" s="76" t="s">
        <v>106</v>
      </c>
      <c r="B254" s="69" t="s">
        <v>41</v>
      </c>
      <c r="C254" s="69" t="s">
        <v>2</v>
      </c>
      <c r="D254" s="69" t="s">
        <v>14</v>
      </c>
      <c r="E254" s="69" t="s">
        <v>20</v>
      </c>
      <c r="F254" s="92" t="s">
        <v>67</v>
      </c>
      <c r="G254" s="69" t="s">
        <v>148</v>
      </c>
      <c r="H254" s="69" t="s">
        <v>162</v>
      </c>
      <c r="I254" s="133" t="s">
        <v>107</v>
      </c>
      <c r="J254" s="120">
        <v>20000</v>
      </c>
      <c r="K254" s="120">
        <v>20000</v>
      </c>
      <c r="L254" s="120">
        <v>20000</v>
      </c>
    </row>
    <row r="255" spans="1:12">
      <c r="A255" s="7" t="s">
        <v>83</v>
      </c>
      <c r="B255" s="1" t="s">
        <v>41</v>
      </c>
      <c r="C255" s="1" t="s">
        <v>2</v>
      </c>
      <c r="D255" s="1" t="s">
        <v>14</v>
      </c>
      <c r="E255" s="1" t="s">
        <v>82</v>
      </c>
      <c r="F255" s="1" t="s">
        <v>70</v>
      </c>
      <c r="G255" s="1" t="s">
        <v>148</v>
      </c>
      <c r="H255" s="1" t="s">
        <v>149</v>
      </c>
      <c r="I255" s="13"/>
      <c r="J255" s="117">
        <f>J256</f>
        <v>18198899</v>
      </c>
      <c r="K255" s="161">
        <f t="shared" ref="K255:L255" si="95">K256</f>
        <v>18374498.530000001</v>
      </c>
      <c r="L255" s="161">
        <f t="shared" si="95"/>
        <v>18451853.510000002</v>
      </c>
    </row>
    <row r="256" spans="1:12" ht="25.5">
      <c r="A256" s="2" t="s">
        <v>87</v>
      </c>
      <c r="B256" s="1" t="s">
        <v>41</v>
      </c>
      <c r="C256" s="1" t="s">
        <v>2</v>
      </c>
      <c r="D256" s="1" t="s">
        <v>14</v>
      </c>
      <c r="E256" s="1" t="s">
        <v>82</v>
      </c>
      <c r="F256" s="1" t="s">
        <v>70</v>
      </c>
      <c r="G256" s="1" t="s">
        <v>148</v>
      </c>
      <c r="H256" s="1" t="s">
        <v>158</v>
      </c>
      <c r="I256" s="13"/>
      <c r="J256" s="87">
        <f>J257+J259</f>
        <v>18198899</v>
      </c>
      <c r="K256" s="159">
        <f t="shared" ref="K256:L256" si="96">K257+K259</f>
        <v>18374498.530000001</v>
      </c>
      <c r="L256" s="159">
        <f t="shared" si="96"/>
        <v>18451853.510000002</v>
      </c>
    </row>
    <row r="257" spans="1:12" ht="38.25">
      <c r="A257" s="81" t="s">
        <v>96</v>
      </c>
      <c r="B257" s="1" t="s">
        <v>41</v>
      </c>
      <c r="C257" s="1" t="s">
        <v>2</v>
      </c>
      <c r="D257" s="1" t="s">
        <v>14</v>
      </c>
      <c r="E257" s="1" t="s">
        <v>82</v>
      </c>
      <c r="F257" s="1" t="s">
        <v>70</v>
      </c>
      <c r="G257" s="1" t="s">
        <v>148</v>
      </c>
      <c r="H257" s="1" t="s">
        <v>158</v>
      </c>
      <c r="I257" s="13" t="s">
        <v>92</v>
      </c>
      <c r="J257" s="87">
        <f>J258</f>
        <v>17849899</v>
      </c>
      <c r="K257" s="159">
        <f t="shared" ref="K257:L257" si="97">K258</f>
        <v>18025498.530000001</v>
      </c>
      <c r="L257" s="159">
        <f t="shared" si="97"/>
        <v>18102853.510000002</v>
      </c>
    </row>
    <row r="258" spans="1:12">
      <c r="A258" s="81" t="s">
        <v>103</v>
      </c>
      <c r="B258" s="1" t="s">
        <v>41</v>
      </c>
      <c r="C258" s="1" t="s">
        <v>2</v>
      </c>
      <c r="D258" s="1" t="s">
        <v>14</v>
      </c>
      <c r="E258" s="1" t="s">
        <v>82</v>
      </c>
      <c r="F258" s="1" t="s">
        <v>70</v>
      </c>
      <c r="G258" s="1" t="s">
        <v>148</v>
      </c>
      <c r="H258" s="1" t="s">
        <v>158</v>
      </c>
      <c r="I258" s="13" t="s">
        <v>102</v>
      </c>
      <c r="J258" s="87">
        <v>17849899</v>
      </c>
      <c r="K258" s="159">
        <v>18025498.530000001</v>
      </c>
      <c r="L258" s="159">
        <v>18102853.510000002</v>
      </c>
    </row>
    <row r="259" spans="1:12" ht="25.5">
      <c r="A259" s="157" t="s">
        <v>260</v>
      </c>
      <c r="B259" s="1" t="s">
        <v>41</v>
      </c>
      <c r="C259" s="1" t="s">
        <v>2</v>
      </c>
      <c r="D259" s="1" t="s">
        <v>14</v>
      </c>
      <c r="E259" s="1" t="s">
        <v>82</v>
      </c>
      <c r="F259" s="1" t="s">
        <v>70</v>
      </c>
      <c r="G259" s="1" t="s">
        <v>148</v>
      </c>
      <c r="H259" s="1" t="s">
        <v>158</v>
      </c>
      <c r="I259" s="13" t="s">
        <v>94</v>
      </c>
      <c r="J259" s="87">
        <f>J260</f>
        <v>349000</v>
      </c>
      <c r="K259" s="159">
        <f t="shared" ref="K259:L259" si="98">K260</f>
        <v>349000</v>
      </c>
      <c r="L259" s="159">
        <f t="shared" si="98"/>
        <v>349000</v>
      </c>
    </row>
    <row r="260" spans="1:12" ht="25.5">
      <c r="A260" s="81" t="s">
        <v>98</v>
      </c>
      <c r="B260" s="1" t="s">
        <v>41</v>
      </c>
      <c r="C260" s="1" t="s">
        <v>2</v>
      </c>
      <c r="D260" s="1" t="s">
        <v>14</v>
      </c>
      <c r="E260" s="1" t="s">
        <v>82</v>
      </c>
      <c r="F260" s="1" t="s">
        <v>70</v>
      </c>
      <c r="G260" s="1" t="s">
        <v>148</v>
      </c>
      <c r="H260" s="1" t="s">
        <v>158</v>
      </c>
      <c r="I260" s="13" t="s">
        <v>95</v>
      </c>
      <c r="J260" s="87">
        <v>349000</v>
      </c>
      <c r="K260" s="159">
        <v>349000</v>
      </c>
      <c r="L260" s="159">
        <v>349000</v>
      </c>
    </row>
    <row r="261" spans="1:12">
      <c r="A261" s="2"/>
      <c r="B261" s="50"/>
      <c r="C261" s="1"/>
      <c r="D261" s="1"/>
      <c r="E261" s="1"/>
      <c r="F261" s="1"/>
      <c r="G261" s="1"/>
      <c r="H261" s="1"/>
      <c r="I261" s="13"/>
      <c r="J261" s="87"/>
      <c r="K261" s="159"/>
      <c r="L261" s="159"/>
    </row>
    <row r="262" spans="1:12" ht="15.75">
      <c r="A262" s="26" t="s">
        <v>5</v>
      </c>
      <c r="B262" s="27" t="s">
        <v>41</v>
      </c>
      <c r="C262" s="31" t="s">
        <v>30</v>
      </c>
      <c r="D262" s="1"/>
      <c r="E262" s="1"/>
      <c r="F262" s="1"/>
      <c r="G262" s="1"/>
      <c r="H262" s="1"/>
      <c r="I262" s="13"/>
      <c r="J262" s="115">
        <f>J263+J277</f>
        <v>10040282.41</v>
      </c>
      <c r="K262" s="115">
        <f t="shared" ref="K262:L262" si="99">K263+K277</f>
        <v>10044104.539999999</v>
      </c>
      <c r="L262" s="115">
        <f t="shared" si="99"/>
        <v>10324469.6</v>
      </c>
    </row>
    <row r="263" spans="1:12">
      <c r="A263" s="19" t="s">
        <v>21</v>
      </c>
      <c r="B263" s="14" t="s">
        <v>41</v>
      </c>
      <c r="C263" s="14" t="s">
        <v>30</v>
      </c>
      <c r="D263" s="14" t="s">
        <v>16</v>
      </c>
      <c r="E263" s="14"/>
      <c r="F263" s="14"/>
      <c r="G263" s="14"/>
      <c r="H263" s="1"/>
      <c r="I263" s="13"/>
      <c r="J263" s="116">
        <f>J264</f>
        <v>7243428.5</v>
      </c>
      <c r="K263" s="116">
        <f t="shared" ref="K263:L263" si="100">K264</f>
        <v>7001349.3300000001</v>
      </c>
      <c r="L263" s="116">
        <f t="shared" si="100"/>
        <v>6894631.0600000005</v>
      </c>
    </row>
    <row r="264" spans="1:12" ht="25.5">
      <c r="A264" s="149" t="s">
        <v>285</v>
      </c>
      <c r="B264" s="1" t="s">
        <v>41</v>
      </c>
      <c r="C264" s="1" t="s">
        <v>30</v>
      </c>
      <c r="D264" s="1" t="s">
        <v>16</v>
      </c>
      <c r="E264" s="1" t="s">
        <v>20</v>
      </c>
      <c r="F264" s="1" t="s">
        <v>70</v>
      </c>
      <c r="G264" s="1" t="s">
        <v>148</v>
      </c>
      <c r="H264" s="1" t="s">
        <v>149</v>
      </c>
      <c r="I264" s="17"/>
      <c r="J264" s="117">
        <f>J265+J269</f>
        <v>7243428.5</v>
      </c>
      <c r="K264" s="161">
        <f t="shared" ref="K264:L264" si="101">K265+K269</f>
        <v>7001349.3300000001</v>
      </c>
      <c r="L264" s="161">
        <f t="shared" si="101"/>
        <v>6894631.0600000005</v>
      </c>
    </row>
    <row r="265" spans="1:12" ht="25.5">
      <c r="A265" s="2" t="s">
        <v>139</v>
      </c>
      <c r="B265" s="1" t="s">
        <v>41</v>
      </c>
      <c r="C265" s="1" t="s">
        <v>30</v>
      </c>
      <c r="D265" s="1" t="s">
        <v>16</v>
      </c>
      <c r="E265" s="1" t="s">
        <v>20</v>
      </c>
      <c r="F265" s="1" t="s">
        <v>127</v>
      </c>
      <c r="G265" s="1" t="s">
        <v>148</v>
      </c>
      <c r="H265" s="1" t="s">
        <v>149</v>
      </c>
      <c r="I265" s="17"/>
      <c r="J265" s="117">
        <f t="shared" ref="J265:L267" si="102">J266</f>
        <v>2021540</v>
      </c>
      <c r="K265" s="161">
        <f t="shared" si="102"/>
        <v>2046970</v>
      </c>
      <c r="L265" s="161">
        <f t="shared" si="102"/>
        <v>2363360</v>
      </c>
    </row>
    <row r="266" spans="1:12" ht="38.25">
      <c r="A266" s="9" t="s">
        <v>73</v>
      </c>
      <c r="B266" s="1" t="s">
        <v>41</v>
      </c>
      <c r="C266" s="10" t="s">
        <v>30</v>
      </c>
      <c r="D266" s="10" t="s">
        <v>16</v>
      </c>
      <c r="E266" s="1" t="s">
        <v>20</v>
      </c>
      <c r="F266" s="1" t="s">
        <v>127</v>
      </c>
      <c r="G266" s="1" t="s">
        <v>148</v>
      </c>
      <c r="H266" s="10" t="s">
        <v>168</v>
      </c>
      <c r="I266" s="17"/>
      <c r="J266" s="117">
        <f t="shared" si="102"/>
        <v>2021540</v>
      </c>
      <c r="K266" s="161">
        <f t="shared" si="102"/>
        <v>2046970</v>
      </c>
      <c r="L266" s="161">
        <f t="shared" si="102"/>
        <v>2363360</v>
      </c>
    </row>
    <row r="267" spans="1:12" ht="25.5">
      <c r="A267" s="9" t="s">
        <v>72</v>
      </c>
      <c r="B267" s="1" t="s">
        <v>41</v>
      </c>
      <c r="C267" s="10" t="s">
        <v>30</v>
      </c>
      <c r="D267" s="10" t="s">
        <v>16</v>
      </c>
      <c r="E267" s="1" t="s">
        <v>20</v>
      </c>
      <c r="F267" s="1" t="s">
        <v>127</v>
      </c>
      <c r="G267" s="1" t="s">
        <v>148</v>
      </c>
      <c r="H267" s="10" t="s">
        <v>168</v>
      </c>
      <c r="I267" s="17" t="s">
        <v>71</v>
      </c>
      <c r="J267" s="117">
        <f t="shared" si="102"/>
        <v>2021540</v>
      </c>
      <c r="K267" s="161">
        <f t="shared" si="102"/>
        <v>2046970</v>
      </c>
      <c r="L267" s="161">
        <f t="shared" si="102"/>
        <v>2363360</v>
      </c>
    </row>
    <row r="268" spans="1:12">
      <c r="A268" s="9" t="s">
        <v>75</v>
      </c>
      <c r="B268" s="1" t="s">
        <v>41</v>
      </c>
      <c r="C268" s="10" t="s">
        <v>30</v>
      </c>
      <c r="D268" s="10" t="s">
        <v>16</v>
      </c>
      <c r="E268" s="1" t="s">
        <v>20</v>
      </c>
      <c r="F268" s="1" t="s">
        <v>127</v>
      </c>
      <c r="G268" s="1" t="s">
        <v>148</v>
      </c>
      <c r="H268" s="10" t="s">
        <v>168</v>
      </c>
      <c r="I268" s="17" t="s">
        <v>74</v>
      </c>
      <c r="J268" s="117">
        <v>2021540</v>
      </c>
      <c r="K268" s="161">
        <v>2046970</v>
      </c>
      <c r="L268" s="161">
        <v>2363360</v>
      </c>
    </row>
    <row r="269" spans="1:12" s="91" customFormat="1" ht="25.5">
      <c r="A269" s="188" t="s">
        <v>280</v>
      </c>
      <c r="B269" s="1" t="s">
        <v>41</v>
      </c>
      <c r="C269" s="10" t="s">
        <v>30</v>
      </c>
      <c r="D269" s="10" t="s">
        <v>16</v>
      </c>
      <c r="E269" s="1" t="s">
        <v>20</v>
      </c>
      <c r="F269" s="78" t="s">
        <v>134</v>
      </c>
      <c r="G269" s="78" t="s">
        <v>148</v>
      </c>
      <c r="H269" s="109" t="s">
        <v>149</v>
      </c>
      <c r="I269" s="110"/>
      <c r="J269" s="121">
        <f>J273+J270</f>
        <v>5221888.5</v>
      </c>
      <c r="K269" s="121">
        <f t="shared" ref="K269:L269" si="103">K273+K270</f>
        <v>4954379.33</v>
      </c>
      <c r="L269" s="121">
        <f t="shared" si="103"/>
        <v>4531271.0600000005</v>
      </c>
    </row>
    <row r="270" spans="1:12" s="91" customFormat="1" ht="51">
      <c r="A270" s="76" t="s">
        <v>297</v>
      </c>
      <c r="B270" s="69" t="s">
        <v>41</v>
      </c>
      <c r="C270" s="151" t="s">
        <v>30</v>
      </c>
      <c r="D270" s="151" t="s">
        <v>16</v>
      </c>
      <c r="E270" s="148" t="s">
        <v>20</v>
      </c>
      <c r="F270" s="148" t="s">
        <v>134</v>
      </c>
      <c r="G270" s="148" t="s">
        <v>148</v>
      </c>
      <c r="H270" s="148" t="s">
        <v>238</v>
      </c>
      <c r="I270" s="79"/>
      <c r="J270" s="171">
        <f>J271</f>
        <v>4546188.5</v>
      </c>
      <c r="K270" s="171">
        <f t="shared" ref="K270:L271" si="104">K271</f>
        <v>4277929.33</v>
      </c>
      <c r="L270" s="171">
        <f t="shared" si="104"/>
        <v>3854311.06</v>
      </c>
    </row>
    <row r="271" spans="1:12" s="91" customFormat="1" ht="25.5">
      <c r="A271" s="150" t="s">
        <v>72</v>
      </c>
      <c r="B271" s="69" t="s">
        <v>41</v>
      </c>
      <c r="C271" s="151" t="s">
        <v>30</v>
      </c>
      <c r="D271" s="151" t="s">
        <v>16</v>
      </c>
      <c r="E271" s="148" t="s">
        <v>20</v>
      </c>
      <c r="F271" s="148" t="s">
        <v>134</v>
      </c>
      <c r="G271" s="148" t="s">
        <v>148</v>
      </c>
      <c r="H271" s="148" t="s">
        <v>238</v>
      </c>
      <c r="I271" s="79" t="s">
        <v>71</v>
      </c>
      <c r="J271" s="171">
        <f>J272</f>
        <v>4546188.5</v>
      </c>
      <c r="K271" s="171">
        <f t="shared" si="104"/>
        <v>4277929.33</v>
      </c>
      <c r="L271" s="171">
        <f t="shared" si="104"/>
        <v>3854311.06</v>
      </c>
    </row>
    <row r="272" spans="1:12">
      <c r="A272" s="152" t="s">
        <v>75</v>
      </c>
      <c r="B272" s="69" t="s">
        <v>41</v>
      </c>
      <c r="C272" s="151" t="s">
        <v>30</v>
      </c>
      <c r="D272" s="151" t="s">
        <v>16</v>
      </c>
      <c r="E272" s="148" t="s">
        <v>20</v>
      </c>
      <c r="F272" s="148" t="s">
        <v>134</v>
      </c>
      <c r="G272" s="148" t="s">
        <v>148</v>
      </c>
      <c r="H272" s="148" t="s">
        <v>238</v>
      </c>
      <c r="I272" s="79" t="s">
        <v>74</v>
      </c>
      <c r="J272" s="171">
        <f>4541660.5+4528</f>
        <v>4546188.5</v>
      </c>
      <c r="K272" s="171">
        <f>4273401.33+4528</f>
        <v>4277929.33</v>
      </c>
      <c r="L272" s="171">
        <f>3849783.06+4528</f>
        <v>3854311.06</v>
      </c>
    </row>
    <row r="273" spans="1:12" ht="38.25">
      <c r="A273" s="108" t="s">
        <v>193</v>
      </c>
      <c r="B273" s="1" t="s">
        <v>41</v>
      </c>
      <c r="C273" s="10" t="s">
        <v>30</v>
      </c>
      <c r="D273" s="10" t="s">
        <v>16</v>
      </c>
      <c r="E273" s="1" t="s">
        <v>20</v>
      </c>
      <c r="F273" s="78" t="s">
        <v>134</v>
      </c>
      <c r="G273" s="78" t="s">
        <v>148</v>
      </c>
      <c r="H273" s="142" t="s">
        <v>209</v>
      </c>
      <c r="I273" s="110"/>
      <c r="J273" s="121">
        <f t="shared" ref="J273:L274" si="105">J274</f>
        <v>675700</v>
      </c>
      <c r="K273" s="121">
        <f t="shared" si="105"/>
        <v>676450</v>
      </c>
      <c r="L273" s="121">
        <f t="shared" si="105"/>
        <v>676960</v>
      </c>
    </row>
    <row r="274" spans="1:12" ht="25.5">
      <c r="A274" s="9" t="s">
        <v>72</v>
      </c>
      <c r="B274" s="1" t="s">
        <v>41</v>
      </c>
      <c r="C274" s="10" t="s">
        <v>30</v>
      </c>
      <c r="D274" s="10" t="s">
        <v>16</v>
      </c>
      <c r="E274" s="1" t="s">
        <v>20</v>
      </c>
      <c r="F274" s="78" t="s">
        <v>134</v>
      </c>
      <c r="G274" s="78" t="s">
        <v>148</v>
      </c>
      <c r="H274" s="142" t="s">
        <v>209</v>
      </c>
      <c r="I274" s="110" t="s">
        <v>71</v>
      </c>
      <c r="J274" s="121">
        <f t="shared" si="105"/>
        <v>675700</v>
      </c>
      <c r="K274" s="121">
        <f t="shared" si="105"/>
        <v>676450</v>
      </c>
      <c r="L274" s="121">
        <f t="shared" si="105"/>
        <v>676960</v>
      </c>
    </row>
    <row r="275" spans="1:12">
      <c r="A275" s="9" t="s">
        <v>75</v>
      </c>
      <c r="B275" s="1" t="s">
        <v>41</v>
      </c>
      <c r="C275" s="10" t="s">
        <v>30</v>
      </c>
      <c r="D275" s="10" t="s">
        <v>16</v>
      </c>
      <c r="E275" s="1" t="s">
        <v>20</v>
      </c>
      <c r="F275" s="78" t="s">
        <v>134</v>
      </c>
      <c r="G275" s="78" t="s">
        <v>148</v>
      </c>
      <c r="H275" s="142" t="s">
        <v>209</v>
      </c>
      <c r="I275" s="110" t="s">
        <v>74</v>
      </c>
      <c r="J275" s="121">
        <f>175700+500000</f>
        <v>675700</v>
      </c>
      <c r="K275" s="121">
        <f>176450+500000</f>
        <v>676450</v>
      </c>
      <c r="L275" s="121">
        <f>176960+500000</f>
        <v>676960</v>
      </c>
    </row>
    <row r="276" spans="1:12">
      <c r="A276" s="80"/>
      <c r="B276" s="77"/>
      <c r="C276" s="78"/>
      <c r="D276" s="78"/>
      <c r="E276" s="78"/>
      <c r="F276" s="78"/>
      <c r="G276" s="78"/>
      <c r="H276" s="78"/>
      <c r="I276" s="79"/>
      <c r="J276" s="118"/>
      <c r="K276" s="118"/>
      <c r="L276" s="118"/>
    </row>
    <row r="277" spans="1:12">
      <c r="A277" s="19" t="s">
        <v>59</v>
      </c>
      <c r="B277" s="14" t="s">
        <v>41</v>
      </c>
      <c r="C277" s="14" t="s">
        <v>30</v>
      </c>
      <c r="D277" s="14" t="s">
        <v>3</v>
      </c>
      <c r="E277" s="14"/>
      <c r="F277" s="14"/>
      <c r="G277" s="14"/>
      <c r="H277" s="1"/>
      <c r="I277" s="13"/>
      <c r="J277" s="116">
        <f>J278</f>
        <v>2796853.9099999997</v>
      </c>
      <c r="K277" s="116">
        <f t="shared" ref="K277:L277" si="106">K278</f>
        <v>3042755.21</v>
      </c>
      <c r="L277" s="116">
        <f t="shared" si="106"/>
        <v>3429838.5399999996</v>
      </c>
    </row>
    <row r="278" spans="1:12">
      <c r="A278" s="7" t="s">
        <v>83</v>
      </c>
      <c r="B278" s="1" t="s">
        <v>41</v>
      </c>
      <c r="C278" s="1" t="s">
        <v>30</v>
      </c>
      <c r="D278" s="1" t="s">
        <v>3</v>
      </c>
      <c r="E278" s="1" t="s">
        <v>82</v>
      </c>
      <c r="F278" s="1" t="s">
        <v>70</v>
      </c>
      <c r="G278" s="1" t="s">
        <v>148</v>
      </c>
      <c r="H278" s="1" t="s">
        <v>149</v>
      </c>
      <c r="I278" s="13"/>
      <c r="J278" s="87">
        <f>J282+J279</f>
        <v>2796853.9099999997</v>
      </c>
      <c r="K278" s="159">
        <f t="shared" ref="K278:L278" si="107">K282+K279</f>
        <v>3042755.21</v>
      </c>
      <c r="L278" s="159">
        <f t="shared" si="107"/>
        <v>3429838.5399999996</v>
      </c>
    </row>
    <row r="279" spans="1:12" ht="25.5">
      <c r="A279" s="2" t="s">
        <v>58</v>
      </c>
      <c r="B279" s="1" t="s">
        <v>41</v>
      </c>
      <c r="C279" s="1" t="s">
        <v>30</v>
      </c>
      <c r="D279" s="1" t="s">
        <v>3</v>
      </c>
      <c r="E279" s="78" t="s">
        <v>82</v>
      </c>
      <c r="F279" s="78" t="s">
        <v>70</v>
      </c>
      <c r="G279" s="78" t="s">
        <v>148</v>
      </c>
      <c r="H279" s="78" t="s">
        <v>169</v>
      </c>
      <c r="I279" s="79"/>
      <c r="J279" s="118">
        <f>J280</f>
        <v>71379.360000000001</v>
      </c>
      <c r="K279" s="118">
        <f t="shared" ref="K279:L280" si="108">K280</f>
        <v>74234.53</v>
      </c>
      <c r="L279" s="118">
        <f t="shared" si="108"/>
        <v>74234.53</v>
      </c>
    </row>
    <row r="280" spans="1:12">
      <c r="A280" s="9" t="s">
        <v>100</v>
      </c>
      <c r="B280" s="1" t="s">
        <v>41</v>
      </c>
      <c r="C280" s="1" t="s">
        <v>30</v>
      </c>
      <c r="D280" s="1" t="s">
        <v>3</v>
      </c>
      <c r="E280" s="78" t="s">
        <v>82</v>
      </c>
      <c r="F280" s="78" t="s">
        <v>70</v>
      </c>
      <c r="G280" s="78" t="s">
        <v>148</v>
      </c>
      <c r="H280" s="78" t="s">
        <v>169</v>
      </c>
      <c r="I280" s="79" t="s">
        <v>99</v>
      </c>
      <c r="J280" s="118">
        <f>J281</f>
        <v>71379.360000000001</v>
      </c>
      <c r="K280" s="118">
        <f t="shared" si="108"/>
        <v>74234.53</v>
      </c>
      <c r="L280" s="118">
        <f t="shared" si="108"/>
        <v>74234.53</v>
      </c>
    </row>
    <row r="281" spans="1:12" ht="25.5">
      <c r="A281" s="127" t="s">
        <v>106</v>
      </c>
      <c r="B281" s="1" t="s">
        <v>41</v>
      </c>
      <c r="C281" s="1" t="s">
        <v>30</v>
      </c>
      <c r="D281" s="1" t="s">
        <v>3</v>
      </c>
      <c r="E281" s="78" t="s">
        <v>82</v>
      </c>
      <c r="F281" s="78" t="s">
        <v>70</v>
      </c>
      <c r="G281" s="78" t="s">
        <v>148</v>
      </c>
      <c r="H281" s="78" t="s">
        <v>169</v>
      </c>
      <c r="I281" s="79" t="s">
        <v>107</v>
      </c>
      <c r="J281" s="118">
        <v>71379.360000000001</v>
      </c>
      <c r="K281" s="118">
        <v>74234.53</v>
      </c>
      <c r="L281" s="118">
        <v>74234.53</v>
      </c>
    </row>
    <row r="282" spans="1:12" ht="51">
      <c r="A282" s="152" t="s">
        <v>242</v>
      </c>
      <c r="B282" s="1" t="s">
        <v>41</v>
      </c>
      <c r="C282" s="1" t="s">
        <v>30</v>
      </c>
      <c r="D282" s="1" t="s">
        <v>3</v>
      </c>
      <c r="E282" s="1" t="s">
        <v>82</v>
      </c>
      <c r="F282" s="1" t="s">
        <v>70</v>
      </c>
      <c r="G282" s="1" t="s">
        <v>148</v>
      </c>
      <c r="H282" s="1" t="s">
        <v>219</v>
      </c>
      <c r="I282" s="13"/>
      <c r="J282" s="87">
        <f>J283+J285</f>
        <v>2725474.55</v>
      </c>
      <c r="K282" s="159">
        <f t="shared" ref="K282:L282" si="109">K283+K285</f>
        <v>2968520.68</v>
      </c>
      <c r="L282" s="159">
        <f t="shared" si="109"/>
        <v>3355604.01</v>
      </c>
    </row>
    <row r="283" spans="1:12" ht="38.25">
      <c r="A283" s="81" t="s">
        <v>96</v>
      </c>
      <c r="B283" s="1" t="s">
        <v>41</v>
      </c>
      <c r="C283" s="1" t="s">
        <v>30</v>
      </c>
      <c r="D283" s="1" t="s">
        <v>3</v>
      </c>
      <c r="E283" s="1" t="s">
        <v>82</v>
      </c>
      <c r="F283" s="1" t="s">
        <v>70</v>
      </c>
      <c r="G283" s="78" t="s">
        <v>148</v>
      </c>
      <c r="H283" s="1" t="s">
        <v>219</v>
      </c>
      <c r="I283" s="79" t="s">
        <v>92</v>
      </c>
      <c r="J283" s="118">
        <f>J284</f>
        <v>2550474.5499999998</v>
      </c>
      <c r="K283" s="118">
        <f t="shared" ref="K283:L283" si="110">K284</f>
        <v>2793520.68</v>
      </c>
      <c r="L283" s="118">
        <f t="shared" si="110"/>
        <v>3180604.01</v>
      </c>
    </row>
    <row r="284" spans="1:12">
      <c r="A284" s="81" t="s">
        <v>103</v>
      </c>
      <c r="B284" s="1" t="s">
        <v>41</v>
      </c>
      <c r="C284" s="1" t="s">
        <v>30</v>
      </c>
      <c r="D284" s="1" t="s">
        <v>3</v>
      </c>
      <c r="E284" s="1" t="s">
        <v>82</v>
      </c>
      <c r="F284" s="1" t="s">
        <v>70</v>
      </c>
      <c r="G284" s="78" t="s">
        <v>148</v>
      </c>
      <c r="H284" s="1" t="s">
        <v>219</v>
      </c>
      <c r="I284" s="79" t="s">
        <v>102</v>
      </c>
      <c r="J284" s="118">
        <f>2500474.55+50000</f>
        <v>2550474.5499999998</v>
      </c>
      <c r="K284" s="118">
        <f>2743520.68+50000</f>
        <v>2793520.68</v>
      </c>
      <c r="L284" s="118">
        <f>3130604.01+50000</f>
        <v>3180604.01</v>
      </c>
    </row>
    <row r="285" spans="1:12" ht="25.5">
      <c r="A285" s="157" t="s">
        <v>260</v>
      </c>
      <c r="B285" s="1" t="s">
        <v>41</v>
      </c>
      <c r="C285" s="1" t="s">
        <v>30</v>
      </c>
      <c r="D285" s="1" t="s">
        <v>3</v>
      </c>
      <c r="E285" s="1" t="s">
        <v>82</v>
      </c>
      <c r="F285" s="1" t="s">
        <v>70</v>
      </c>
      <c r="G285" s="78" t="s">
        <v>148</v>
      </c>
      <c r="H285" s="1" t="s">
        <v>219</v>
      </c>
      <c r="I285" s="79" t="s">
        <v>94</v>
      </c>
      <c r="J285" s="118">
        <f>J286</f>
        <v>175000</v>
      </c>
      <c r="K285" s="118">
        <f t="shared" ref="K285:L285" si="111">K286</f>
        <v>175000</v>
      </c>
      <c r="L285" s="118">
        <f t="shared" si="111"/>
        <v>175000</v>
      </c>
    </row>
    <row r="286" spans="1:12" s="147" customFormat="1" ht="25.5">
      <c r="A286" s="81" t="s">
        <v>98</v>
      </c>
      <c r="B286" s="1" t="s">
        <v>41</v>
      </c>
      <c r="C286" s="1" t="s">
        <v>30</v>
      </c>
      <c r="D286" s="1" t="s">
        <v>3</v>
      </c>
      <c r="E286" s="1" t="s">
        <v>82</v>
      </c>
      <c r="F286" s="1" t="s">
        <v>70</v>
      </c>
      <c r="G286" s="78" t="s">
        <v>148</v>
      </c>
      <c r="H286" s="1" t="s">
        <v>219</v>
      </c>
      <c r="I286" s="79" t="s">
        <v>95</v>
      </c>
      <c r="J286" s="118">
        <v>175000</v>
      </c>
      <c r="K286" s="118">
        <v>175000</v>
      </c>
      <c r="L286" s="118">
        <v>175000</v>
      </c>
    </row>
    <row r="287" spans="1:12" s="147" customFormat="1">
      <c r="A287" s="156"/>
      <c r="B287" s="148"/>
      <c r="C287" s="148"/>
      <c r="D287" s="148"/>
      <c r="E287" s="148"/>
      <c r="F287" s="148"/>
      <c r="G287" s="78"/>
      <c r="H287" s="148"/>
      <c r="I287" s="79"/>
      <c r="J287" s="118"/>
      <c r="K287" s="118"/>
      <c r="L287" s="118"/>
    </row>
    <row r="288" spans="1:12" s="147" customFormat="1">
      <c r="A288" s="134"/>
      <c r="B288" s="192"/>
      <c r="C288" s="193"/>
      <c r="D288" s="193"/>
      <c r="E288" s="193"/>
      <c r="F288" s="193"/>
      <c r="G288" s="193"/>
      <c r="H288" s="78"/>
      <c r="I288" s="194"/>
      <c r="J288" s="118"/>
      <c r="K288" s="118"/>
      <c r="L288" s="118"/>
    </row>
    <row r="289" spans="1:12" s="183" customFormat="1" ht="38.25">
      <c r="A289" s="179" t="s">
        <v>408</v>
      </c>
      <c r="B289" s="180" t="s">
        <v>272</v>
      </c>
      <c r="C289" s="195"/>
      <c r="D289" s="195"/>
      <c r="E289" s="195"/>
      <c r="F289" s="195"/>
      <c r="G289" s="195"/>
      <c r="H289" s="181"/>
      <c r="I289" s="196"/>
      <c r="J289" s="182">
        <f>J290+J305+J312</f>
        <v>16372812</v>
      </c>
      <c r="K289" s="182">
        <f t="shared" ref="K289:L289" si="112">K290+K305+K312</f>
        <v>16138282.58</v>
      </c>
      <c r="L289" s="182">
        <f t="shared" si="112"/>
        <v>16285421.079999998</v>
      </c>
    </row>
    <row r="290" spans="1:12" s="147" customFormat="1" ht="15.75">
      <c r="A290" s="26" t="s">
        <v>32</v>
      </c>
      <c r="B290" s="175" t="s">
        <v>272</v>
      </c>
      <c r="C290" s="176" t="s">
        <v>20</v>
      </c>
      <c r="D290" s="176"/>
      <c r="E290" s="176"/>
      <c r="F290" s="176"/>
      <c r="G290" s="176"/>
      <c r="H290" s="176"/>
      <c r="I290" s="177"/>
      <c r="J290" s="178">
        <f>J291</f>
        <v>11915079</v>
      </c>
      <c r="K290" s="178">
        <f t="shared" ref="K290:L291" si="113">K291</f>
        <v>12026760.26</v>
      </c>
      <c r="L290" s="178">
        <f t="shared" si="113"/>
        <v>12039557.869999999</v>
      </c>
    </row>
    <row r="291" spans="1:12" s="147" customFormat="1">
      <c r="A291" s="4" t="s">
        <v>1</v>
      </c>
      <c r="B291" s="14" t="s">
        <v>272</v>
      </c>
      <c r="C291" s="14" t="s">
        <v>20</v>
      </c>
      <c r="D291" s="14" t="s">
        <v>49</v>
      </c>
      <c r="E291" s="14"/>
      <c r="F291" s="14"/>
      <c r="G291" s="14"/>
      <c r="H291" s="148"/>
      <c r="I291" s="146"/>
      <c r="J291" s="116">
        <f>J292</f>
        <v>11915079</v>
      </c>
      <c r="K291" s="116">
        <f t="shared" si="113"/>
        <v>12026760.26</v>
      </c>
      <c r="L291" s="116">
        <f t="shared" si="113"/>
        <v>12039557.869999999</v>
      </c>
    </row>
    <row r="292" spans="1:12" s="147" customFormat="1" ht="38.25">
      <c r="A292" s="149" t="s">
        <v>287</v>
      </c>
      <c r="B292" s="148" t="s">
        <v>272</v>
      </c>
      <c r="C292" s="148" t="s">
        <v>20</v>
      </c>
      <c r="D292" s="148" t="s">
        <v>49</v>
      </c>
      <c r="E292" s="148" t="s">
        <v>14</v>
      </c>
      <c r="F292" s="148" t="s">
        <v>70</v>
      </c>
      <c r="G292" s="148" t="s">
        <v>148</v>
      </c>
      <c r="H292" s="148" t="s">
        <v>149</v>
      </c>
      <c r="I292" s="146"/>
      <c r="J292" s="159">
        <f>J293+J301+J298</f>
        <v>11915079</v>
      </c>
      <c r="K292" s="159">
        <f t="shared" ref="K292:L292" si="114">K293+K301+K298</f>
        <v>12026760.26</v>
      </c>
      <c r="L292" s="159">
        <f t="shared" si="114"/>
        <v>12039557.869999999</v>
      </c>
    </row>
    <row r="293" spans="1:12" s="147" customFormat="1" ht="25.5">
      <c r="A293" s="152" t="s">
        <v>87</v>
      </c>
      <c r="B293" s="148" t="s">
        <v>272</v>
      </c>
      <c r="C293" s="148" t="s">
        <v>20</v>
      </c>
      <c r="D293" s="148" t="s">
        <v>49</v>
      </c>
      <c r="E293" s="148" t="s">
        <v>14</v>
      </c>
      <c r="F293" s="148" t="s">
        <v>70</v>
      </c>
      <c r="G293" s="148" t="s">
        <v>148</v>
      </c>
      <c r="H293" s="148" t="s">
        <v>158</v>
      </c>
      <c r="I293" s="146"/>
      <c r="J293" s="159">
        <f>J294+J296</f>
        <v>11773079</v>
      </c>
      <c r="K293" s="159">
        <f t="shared" ref="K293:L293" si="115">K294+K296</f>
        <v>11884760.26</v>
      </c>
      <c r="L293" s="159">
        <f t="shared" si="115"/>
        <v>11897557.869999999</v>
      </c>
    </row>
    <row r="294" spans="1:12" s="147" customFormat="1" ht="38.25">
      <c r="A294" s="156" t="s">
        <v>96</v>
      </c>
      <c r="B294" s="148" t="s">
        <v>272</v>
      </c>
      <c r="C294" s="148" t="s">
        <v>20</v>
      </c>
      <c r="D294" s="148" t="s">
        <v>49</v>
      </c>
      <c r="E294" s="148" t="s">
        <v>14</v>
      </c>
      <c r="F294" s="148" t="s">
        <v>70</v>
      </c>
      <c r="G294" s="148" t="s">
        <v>148</v>
      </c>
      <c r="H294" s="148" t="s">
        <v>158</v>
      </c>
      <c r="I294" s="146" t="s">
        <v>92</v>
      </c>
      <c r="J294" s="159">
        <f>J295</f>
        <v>11393079</v>
      </c>
      <c r="K294" s="159">
        <f t="shared" ref="K294:L294" si="116">K295</f>
        <v>11504760.26</v>
      </c>
      <c r="L294" s="159">
        <f t="shared" si="116"/>
        <v>11517557.869999999</v>
      </c>
    </row>
    <row r="295" spans="1:12" s="147" customFormat="1">
      <c r="A295" s="156" t="s">
        <v>103</v>
      </c>
      <c r="B295" s="148" t="s">
        <v>272</v>
      </c>
      <c r="C295" s="148" t="s">
        <v>20</v>
      </c>
      <c r="D295" s="148" t="s">
        <v>49</v>
      </c>
      <c r="E295" s="148" t="s">
        <v>14</v>
      </c>
      <c r="F295" s="148" t="s">
        <v>70</v>
      </c>
      <c r="G295" s="148" t="s">
        <v>148</v>
      </c>
      <c r="H295" s="148" t="s">
        <v>158</v>
      </c>
      <c r="I295" s="146" t="s">
        <v>102</v>
      </c>
      <c r="J295" s="159">
        <v>11393079</v>
      </c>
      <c r="K295" s="159">
        <v>11504760.26</v>
      </c>
      <c r="L295" s="159">
        <v>11517557.869999999</v>
      </c>
    </row>
    <row r="296" spans="1:12" s="147" customFormat="1" ht="25.5">
      <c r="A296" s="157" t="s">
        <v>260</v>
      </c>
      <c r="B296" s="148" t="s">
        <v>272</v>
      </c>
      <c r="C296" s="148" t="s">
        <v>20</v>
      </c>
      <c r="D296" s="148" t="s">
        <v>49</v>
      </c>
      <c r="E296" s="148" t="s">
        <v>14</v>
      </c>
      <c r="F296" s="148" t="s">
        <v>70</v>
      </c>
      <c r="G296" s="148" t="s">
        <v>148</v>
      </c>
      <c r="H296" s="148" t="s">
        <v>158</v>
      </c>
      <c r="I296" s="146" t="s">
        <v>94</v>
      </c>
      <c r="J296" s="159">
        <f>J297</f>
        <v>380000</v>
      </c>
      <c r="K296" s="159">
        <f t="shared" ref="K296:L296" si="117">K297</f>
        <v>380000</v>
      </c>
      <c r="L296" s="159">
        <f t="shared" si="117"/>
        <v>380000</v>
      </c>
    </row>
    <row r="297" spans="1:12" s="147" customFormat="1" ht="25.5">
      <c r="A297" s="156" t="s">
        <v>98</v>
      </c>
      <c r="B297" s="148" t="s">
        <v>272</v>
      </c>
      <c r="C297" s="148" t="s">
        <v>20</v>
      </c>
      <c r="D297" s="148" t="s">
        <v>49</v>
      </c>
      <c r="E297" s="148" t="s">
        <v>14</v>
      </c>
      <c r="F297" s="148" t="s">
        <v>70</v>
      </c>
      <c r="G297" s="148" t="s">
        <v>148</v>
      </c>
      <c r="H297" s="148" t="s">
        <v>158</v>
      </c>
      <c r="I297" s="146" t="s">
        <v>95</v>
      </c>
      <c r="J297" s="159">
        <v>380000</v>
      </c>
      <c r="K297" s="159">
        <v>380000</v>
      </c>
      <c r="L297" s="159">
        <v>380000</v>
      </c>
    </row>
    <row r="298" spans="1:12" s="147" customFormat="1" ht="25.5">
      <c r="A298" s="156" t="s">
        <v>324</v>
      </c>
      <c r="B298" s="148" t="s">
        <v>272</v>
      </c>
      <c r="C298" s="148" t="s">
        <v>20</v>
      </c>
      <c r="D298" s="148" t="s">
        <v>49</v>
      </c>
      <c r="E298" s="148" t="s">
        <v>14</v>
      </c>
      <c r="F298" s="148" t="s">
        <v>70</v>
      </c>
      <c r="G298" s="148" t="s">
        <v>148</v>
      </c>
      <c r="H298" s="148" t="s">
        <v>323</v>
      </c>
      <c r="I298" s="146"/>
      <c r="J298" s="159">
        <f>J299</f>
        <v>100000</v>
      </c>
      <c r="K298" s="159">
        <f t="shared" ref="K298:L299" si="118">K299</f>
        <v>100000</v>
      </c>
      <c r="L298" s="159">
        <f t="shared" si="118"/>
        <v>100000</v>
      </c>
    </row>
    <row r="299" spans="1:12" s="147" customFormat="1" ht="25.5">
      <c r="A299" s="157" t="s">
        <v>260</v>
      </c>
      <c r="B299" s="148" t="s">
        <v>272</v>
      </c>
      <c r="C299" s="148" t="s">
        <v>20</v>
      </c>
      <c r="D299" s="148" t="s">
        <v>49</v>
      </c>
      <c r="E299" s="148" t="s">
        <v>14</v>
      </c>
      <c r="F299" s="148" t="s">
        <v>70</v>
      </c>
      <c r="G299" s="148" t="s">
        <v>148</v>
      </c>
      <c r="H299" s="148" t="s">
        <v>323</v>
      </c>
      <c r="I299" s="146" t="s">
        <v>94</v>
      </c>
      <c r="J299" s="159">
        <f>J300</f>
        <v>100000</v>
      </c>
      <c r="K299" s="159">
        <f t="shared" si="118"/>
        <v>100000</v>
      </c>
      <c r="L299" s="159">
        <f t="shared" si="118"/>
        <v>100000</v>
      </c>
    </row>
    <row r="300" spans="1:12" s="147" customFormat="1" ht="25.5">
      <c r="A300" s="156" t="s">
        <v>98</v>
      </c>
      <c r="B300" s="148" t="s">
        <v>272</v>
      </c>
      <c r="C300" s="148" t="s">
        <v>20</v>
      </c>
      <c r="D300" s="148" t="s">
        <v>49</v>
      </c>
      <c r="E300" s="148" t="s">
        <v>14</v>
      </c>
      <c r="F300" s="148" t="s">
        <v>70</v>
      </c>
      <c r="G300" s="148" t="s">
        <v>148</v>
      </c>
      <c r="H300" s="148" t="s">
        <v>323</v>
      </c>
      <c r="I300" s="146" t="s">
        <v>95</v>
      </c>
      <c r="J300" s="159">
        <v>100000</v>
      </c>
      <c r="K300" s="159">
        <v>100000</v>
      </c>
      <c r="L300" s="159">
        <v>100000</v>
      </c>
    </row>
    <row r="301" spans="1:12" ht="42" customHeight="1">
      <c r="A301" s="2" t="s">
        <v>52</v>
      </c>
      <c r="B301" s="148" t="s">
        <v>272</v>
      </c>
      <c r="C301" s="148" t="s">
        <v>20</v>
      </c>
      <c r="D301" s="148" t="s">
        <v>49</v>
      </c>
      <c r="E301" s="148" t="s">
        <v>14</v>
      </c>
      <c r="F301" s="1" t="s">
        <v>70</v>
      </c>
      <c r="G301" s="1" t="s">
        <v>148</v>
      </c>
      <c r="H301" s="1" t="s">
        <v>175</v>
      </c>
      <c r="I301" s="13"/>
      <c r="J301" s="87">
        <f>J302</f>
        <v>42000</v>
      </c>
      <c r="K301" s="159">
        <f t="shared" ref="K301:L302" si="119">K302</f>
        <v>42000</v>
      </c>
      <c r="L301" s="159">
        <f t="shared" si="119"/>
        <v>42000</v>
      </c>
    </row>
    <row r="302" spans="1:12" ht="25.5">
      <c r="A302" s="157" t="s">
        <v>260</v>
      </c>
      <c r="B302" s="148" t="s">
        <v>272</v>
      </c>
      <c r="C302" s="148" t="s">
        <v>20</v>
      </c>
      <c r="D302" s="148" t="s">
        <v>49</v>
      </c>
      <c r="E302" s="148" t="s">
        <v>14</v>
      </c>
      <c r="F302" s="1" t="s">
        <v>70</v>
      </c>
      <c r="G302" s="1" t="s">
        <v>148</v>
      </c>
      <c r="H302" s="1" t="s">
        <v>175</v>
      </c>
      <c r="I302" s="13" t="s">
        <v>94</v>
      </c>
      <c r="J302" s="87">
        <f>J303</f>
        <v>42000</v>
      </c>
      <c r="K302" s="159">
        <f t="shared" si="119"/>
        <v>42000</v>
      </c>
      <c r="L302" s="159">
        <f t="shared" si="119"/>
        <v>42000</v>
      </c>
    </row>
    <row r="303" spans="1:12" ht="25.5">
      <c r="A303" s="81" t="s">
        <v>98</v>
      </c>
      <c r="B303" s="148" t="s">
        <v>272</v>
      </c>
      <c r="C303" s="148" t="s">
        <v>20</v>
      </c>
      <c r="D303" s="148" t="s">
        <v>49</v>
      </c>
      <c r="E303" s="148" t="s">
        <v>14</v>
      </c>
      <c r="F303" s="1" t="s">
        <v>70</v>
      </c>
      <c r="G303" s="1" t="s">
        <v>148</v>
      </c>
      <c r="H303" s="1" t="s">
        <v>175</v>
      </c>
      <c r="I303" s="13" t="s">
        <v>95</v>
      </c>
      <c r="J303" s="159">
        <v>42000</v>
      </c>
      <c r="K303" s="159">
        <v>42000</v>
      </c>
      <c r="L303" s="159">
        <v>42000</v>
      </c>
    </row>
    <row r="304" spans="1:12" s="147" customFormat="1">
      <c r="A304" s="156"/>
      <c r="B304" s="148"/>
      <c r="C304" s="148"/>
      <c r="D304" s="148"/>
      <c r="E304" s="148"/>
      <c r="F304" s="148"/>
      <c r="G304" s="148"/>
      <c r="H304" s="148"/>
      <c r="I304" s="146"/>
      <c r="J304" s="159"/>
      <c r="K304" s="159"/>
      <c r="L304" s="159"/>
    </row>
    <row r="305" spans="1:12" s="163" customFormat="1" ht="15.75">
      <c r="A305" s="26" t="s">
        <v>15</v>
      </c>
      <c r="B305" s="29" t="s">
        <v>272</v>
      </c>
      <c r="C305" s="29" t="s">
        <v>16</v>
      </c>
      <c r="D305" s="3"/>
      <c r="E305" s="3"/>
      <c r="F305" s="3"/>
      <c r="G305" s="3"/>
      <c r="H305" s="3"/>
      <c r="I305" s="16"/>
      <c r="J305" s="115">
        <f>J306</f>
        <v>290000</v>
      </c>
      <c r="K305" s="115">
        <f t="shared" ref="K305:L309" si="120">K306</f>
        <v>70000</v>
      </c>
      <c r="L305" s="115">
        <f t="shared" si="120"/>
        <v>290000</v>
      </c>
    </row>
    <row r="306" spans="1:12" s="147" customFormat="1">
      <c r="A306" s="4" t="s">
        <v>37</v>
      </c>
      <c r="B306" s="59" t="s">
        <v>272</v>
      </c>
      <c r="C306" s="59" t="s">
        <v>16</v>
      </c>
      <c r="D306" s="59" t="s">
        <v>31</v>
      </c>
      <c r="E306" s="3"/>
      <c r="F306" s="3"/>
      <c r="G306" s="3"/>
      <c r="H306" s="3"/>
      <c r="I306" s="16"/>
      <c r="J306" s="116">
        <f>J307</f>
        <v>290000</v>
      </c>
      <c r="K306" s="116">
        <f t="shared" si="120"/>
        <v>70000</v>
      </c>
      <c r="L306" s="116">
        <f t="shared" si="120"/>
        <v>290000</v>
      </c>
    </row>
    <row r="307" spans="1:12" s="147" customFormat="1" ht="38.25">
      <c r="A307" s="149" t="s">
        <v>287</v>
      </c>
      <c r="B307" s="136" t="s">
        <v>272</v>
      </c>
      <c r="C307" s="136" t="s">
        <v>16</v>
      </c>
      <c r="D307" s="136" t="s">
        <v>31</v>
      </c>
      <c r="E307" s="136" t="s">
        <v>14</v>
      </c>
      <c r="F307" s="136" t="s">
        <v>70</v>
      </c>
      <c r="G307" s="136" t="s">
        <v>148</v>
      </c>
      <c r="H307" s="148" t="s">
        <v>149</v>
      </c>
      <c r="I307" s="146"/>
      <c r="J307" s="161">
        <f>J308</f>
        <v>290000</v>
      </c>
      <c r="K307" s="161">
        <f t="shared" si="120"/>
        <v>70000</v>
      </c>
      <c r="L307" s="161">
        <f t="shared" si="120"/>
        <v>290000</v>
      </c>
    </row>
    <row r="308" spans="1:12" s="147" customFormat="1">
      <c r="A308" s="150" t="s">
        <v>325</v>
      </c>
      <c r="B308" s="136" t="s">
        <v>272</v>
      </c>
      <c r="C308" s="136" t="s">
        <v>16</v>
      </c>
      <c r="D308" s="136" t="s">
        <v>31</v>
      </c>
      <c r="E308" s="136" t="s">
        <v>14</v>
      </c>
      <c r="F308" s="136" t="s">
        <v>70</v>
      </c>
      <c r="G308" s="136" t="s">
        <v>148</v>
      </c>
      <c r="H308" s="148" t="s">
        <v>268</v>
      </c>
      <c r="I308" s="146"/>
      <c r="J308" s="159">
        <f>J309</f>
        <v>290000</v>
      </c>
      <c r="K308" s="159">
        <f t="shared" si="120"/>
        <v>70000</v>
      </c>
      <c r="L308" s="159">
        <f t="shared" si="120"/>
        <v>290000</v>
      </c>
    </row>
    <row r="309" spans="1:12" s="147" customFormat="1" ht="25.5">
      <c r="A309" s="157" t="s">
        <v>260</v>
      </c>
      <c r="B309" s="136" t="s">
        <v>272</v>
      </c>
      <c r="C309" s="136" t="s">
        <v>16</v>
      </c>
      <c r="D309" s="136" t="s">
        <v>31</v>
      </c>
      <c r="E309" s="136" t="s">
        <v>14</v>
      </c>
      <c r="F309" s="136" t="s">
        <v>70</v>
      </c>
      <c r="G309" s="136" t="s">
        <v>148</v>
      </c>
      <c r="H309" s="148" t="s">
        <v>268</v>
      </c>
      <c r="I309" s="146" t="s">
        <v>94</v>
      </c>
      <c r="J309" s="159">
        <f>J310</f>
        <v>290000</v>
      </c>
      <c r="K309" s="159">
        <f t="shared" si="120"/>
        <v>70000</v>
      </c>
      <c r="L309" s="159">
        <f t="shared" si="120"/>
        <v>290000</v>
      </c>
    </row>
    <row r="310" spans="1:12" s="147" customFormat="1" ht="25.5">
      <c r="A310" s="156" t="s">
        <v>98</v>
      </c>
      <c r="B310" s="136" t="s">
        <v>272</v>
      </c>
      <c r="C310" s="136" t="s">
        <v>16</v>
      </c>
      <c r="D310" s="136" t="s">
        <v>31</v>
      </c>
      <c r="E310" s="136" t="s">
        <v>14</v>
      </c>
      <c r="F310" s="136" t="s">
        <v>70</v>
      </c>
      <c r="G310" s="136" t="s">
        <v>148</v>
      </c>
      <c r="H310" s="148" t="s">
        <v>268</v>
      </c>
      <c r="I310" s="146" t="s">
        <v>95</v>
      </c>
      <c r="J310" s="159">
        <v>290000</v>
      </c>
      <c r="K310" s="159">
        <v>70000</v>
      </c>
      <c r="L310" s="159">
        <v>290000</v>
      </c>
    </row>
    <row r="311" spans="1:12" s="147" customFormat="1">
      <c r="A311" s="127"/>
      <c r="B311" s="77"/>
      <c r="C311" s="78"/>
      <c r="D311" s="78"/>
      <c r="E311" s="78"/>
      <c r="F311" s="78"/>
      <c r="G311" s="78"/>
      <c r="H311" s="78"/>
      <c r="I311" s="79"/>
      <c r="J311" s="118"/>
      <c r="K311" s="118"/>
      <c r="L311" s="118"/>
    </row>
    <row r="312" spans="1:12" s="163" customFormat="1" ht="15.75">
      <c r="A312" s="35" t="s">
        <v>46</v>
      </c>
      <c r="B312" s="31" t="s">
        <v>272</v>
      </c>
      <c r="C312" s="31" t="s">
        <v>18</v>
      </c>
      <c r="D312" s="31"/>
      <c r="E312" s="31"/>
      <c r="F312" s="31"/>
      <c r="G312" s="31"/>
      <c r="H312" s="31"/>
      <c r="I312" s="34"/>
      <c r="J312" s="115">
        <f>J313</f>
        <v>4167733</v>
      </c>
      <c r="K312" s="115">
        <f t="shared" ref="K312:L312" si="121">K313</f>
        <v>4041522.32</v>
      </c>
      <c r="L312" s="115">
        <f t="shared" si="121"/>
        <v>3955863.21</v>
      </c>
    </row>
    <row r="313" spans="1:12">
      <c r="A313" s="64" t="s">
        <v>61</v>
      </c>
      <c r="B313" s="15" t="s">
        <v>272</v>
      </c>
      <c r="C313" s="15" t="s">
        <v>18</v>
      </c>
      <c r="D313" s="15" t="s">
        <v>20</v>
      </c>
      <c r="E313" s="15"/>
      <c r="F313" s="15"/>
      <c r="G313" s="15"/>
      <c r="H313" s="15"/>
      <c r="I313" s="28"/>
      <c r="J313" s="116">
        <f>J319+J314</f>
        <v>4167733</v>
      </c>
      <c r="K313" s="116">
        <f>K319+K314</f>
        <v>4041522.32</v>
      </c>
      <c r="L313" s="116">
        <f>L319+L314</f>
        <v>3955863.21</v>
      </c>
    </row>
    <row r="314" spans="1:12" s="163" customFormat="1" ht="38.25">
      <c r="A314" s="149" t="s">
        <v>289</v>
      </c>
      <c r="B314" s="136" t="s">
        <v>272</v>
      </c>
      <c r="C314" s="136" t="s">
        <v>18</v>
      </c>
      <c r="D314" s="136" t="s">
        <v>20</v>
      </c>
      <c r="E314" s="136" t="s">
        <v>27</v>
      </c>
      <c r="F314" s="136" t="s">
        <v>70</v>
      </c>
      <c r="G314" s="136" t="s">
        <v>148</v>
      </c>
      <c r="H314" s="136" t="s">
        <v>149</v>
      </c>
      <c r="I314" s="137"/>
      <c r="J314" s="138">
        <f>J315</f>
        <v>165000</v>
      </c>
      <c r="K314" s="138">
        <f t="shared" ref="K314:L317" si="122">K315</f>
        <v>100000</v>
      </c>
      <c r="L314" s="138">
        <f t="shared" si="122"/>
        <v>0</v>
      </c>
    </row>
    <row r="315" spans="1:12" s="163" customFormat="1">
      <c r="A315" s="149" t="s">
        <v>211</v>
      </c>
      <c r="B315" s="136" t="s">
        <v>272</v>
      </c>
      <c r="C315" s="136" t="s">
        <v>18</v>
      </c>
      <c r="D315" s="136" t="s">
        <v>20</v>
      </c>
      <c r="E315" s="136" t="s">
        <v>27</v>
      </c>
      <c r="F315" s="136" t="s">
        <v>44</v>
      </c>
      <c r="G315" s="136" t="s">
        <v>148</v>
      </c>
      <c r="H315" s="136" t="s">
        <v>149</v>
      </c>
      <c r="I315" s="137"/>
      <c r="J315" s="138">
        <f>J316</f>
        <v>165000</v>
      </c>
      <c r="K315" s="138">
        <f t="shared" si="122"/>
        <v>100000</v>
      </c>
      <c r="L315" s="138">
        <f t="shared" si="122"/>
        <v>0</v>
      </c>
    </row>
    <row r="316" spans="1:12" s="163" customFormat="1" ht="25.5">
      <c r="A316" s="208" t="s">
        <v>212</v>
      </c>
      <c r="B316" s="136" t="s">
        <v>272</v>
      </c>
      <c r="C316" s="136" t="s">
        <v>18</v>
      </c>
      <c r="D316" s="136" t="s">
        <v>20</v>
      </c>
      <c r="E316" s="136" t="s">
        <v>27</v>
      </c>
      <c r="F316" s="136" t="s">
        <v>44</v>
      </c>
      <c r="G316" s="136" t="s">
        <v>148</v>
      </c>
      <c r="H316" s="136" t="s">
        <v>213</v>
      </c>
      <c r="I316" s="137"/>
      <c r="J316" s="138">
        <f>J317</f>
        <v>165000</v>
      </c>
      <c r="K316" s="138">
        <f t="shared" si="122"/>
        <v>100000</v>
      </c>
      <c r="L316" s="138">
        <f t="shared" si="122"/>
        <v>0</v>
      </c>
    </row>
    <row r="317" spans="1:12" s="163" customFormat="1" ht="25.5">
      <c r="A317" s="157" t="s">
        <v>260</v>
      </c>
      <c r="B317" s="136" t="s">
        <v>272</v>
      </c>
      <c r="C317" s="136" t="s">
        <v>18</v>
      </c>
      <c r="D317" s="136" t="s">
        <v>20</v>
      </c>
      <c r="E317" s="136" t="s">
        <v>27</v>
      </c>
      <c r="F317" s="136" t="s">
        <v>44</v>
      </c>
      <c r="G317" s="136" t="s">
        <v>148</v>
      </c>
      <c r="H317" s="136" t="s">
        <v>213</v>
      </c>
      <c r="I317" s="137" t="s">
        <v>94</v>
      </c>
      <c r="J317" s="138">
        <f>J318</f>
        <v>165000</v>
      </c>
      <c r="K317" s="138">
        <f t="shared" si="122"/>
        <v>100000</v>
      </c>
      <c r="L317" s="138">
        <f t="shared" si="122"/>
        <v>0</v>
      </c>
    </row>
    <row r="318" spans="1:12" s="163" customFormat="1" ht="25.5">
      <c r="A318" s="156" t="s">
        <v>98</v>
      </c>
      <c r="B318" s="136" t="s">
        <v>272</v>
      </c>
      <c r="C318" s="136" t="s">
        <v>18</v>
      </c>
      <c r="D318" s="136" t="s">
        <v>20</v>
      </c>
      <c r="E318" s="136" t="s">
        <v>27</v>
      </c>
      <c r="F318" s="136" t="s">
        <v>44</v>
      </c>
      <c r="G318" s="136" t="s">
        <v>148</v>
      </c>
      <c r="H318" s="136" t="s">
        <v>213</v>
      </c>
      <c r="I318" s="137" t="s">
        <v>95</v>
      </c>
      <c r="J318" s="138">
        <v>165000</v>
      </c>
      <c r="K318" s="138">
        <v>100000</v>
      </c>
      <c r="L318" s="138"/>
    </row>
    <row r="319" spans="1:12" ht="38.25">
      <c r="A319" s="149" t="s">
        <v>287</v>
      </c>
      <c r="B319" s="136" t="s">
        <v>272</v>
      </c>
      <c r="C319" s="136" t="s">
        <v>18</v>
      </c>
      <c r="D319" s="136" t="s">
        <v>20</v>
      </c>
      <c r="E319" s="136" t="s">
        <v>14</v>
      </c>
      <c r="F319" s="136" t="s">
        <v>70</v>
      </c>
      <c r="G319" s="136" t="s">
        <v>148</v>
      </c>
      <c r="H319" s="148" t="s">
        <v>149</v>
      </c>
      <c r="I319" s="146"/>
      <c r="J319" s="87">
        <f>J323+J320+J326</f>
        <v>4002733</v>
      </c>
      <c r="K319" s="159">
        <f t="shared" ref="K319:L319" si="123">K323+K320+K326</f>
        <v>3941522.32</v>
      </c>
      <c r="L319" s="159">
        <f t="shared" si="123"/>
        <v>3955863.21</v>
      </c>
    </row>
    <row r="320" spans="1:12" s="147" customFormat="1" ht="25.5">
      <c r="A320" s="127" t="s">
        <v>326</v>
      </c>
      <c r="B320" s="136" t="s">
        <v>272</v>
      </c>
      <c r="C320" s="136" t="s">
        <v>18</v>
      </c>
      <c r="D320" s="136" t="s">
        <v>20</v>
      </c>
      <c r="E320" s="136" t="s">
        <v>14</v>
      </c>
      <c r="F320" s="136" t="s">
        <v>70</v>
      </c>
      <c r="G320" s="136" t="s">
        <v>148</v>
      </c>
      <c r="H320" s="78" t="s">
        <v>172</v>
      </c>
      <c r="I320" s="79"/>
      <c r="J320" s="118">
        <f>J321</f>
        <v>3550000</v>
      </c>
      <c r="K320" s="118">
        <f t="shared" ref="K320:L321" si="124">K321</f>
        <v>3550000</v>
      </c>
      <c r="L320" s="118">
        <f t="shared" si="124"/>
        <v>3550000</v>
      </c>
    </row>
    <row r="321" spans="1:12" s="147" customFormat="1" ht="25.5">
      <c r="A321" s="157" t="s">
        <v>260</v>
      </c>
      <c r="B321" s="136" t="s">
        <v>272</v>
      </c>
      <c r="C321" s="136" t="s">
        <v>18</v>
      </c>
      <c r="D321" s="136" t="s">
        <v>20</v>
      </c>
      <c r="E321" s="136" t="s">
        <v>14</v>
      </c>
      <c r="F321" s="136" t="s">
        <v>70</v>
      </c>
      <c r="G321" s="136" t="s">
        <v>148</v>
      </c>
      <c r="H321" s="78" t="s">
        <v>172</v>
      </c>
      <c r="I321" s="79" t="s">
        <v>94</v>
      </c>
      <c r="J321" s="118">
        <f>J322</f>
        <v>3550000</v>
      </c>
      <c r="K321" s="118">
        <f t="shared" si="124"/>
        <v>3550000</v>
      </c>
      <c r="L321" s="118">
        <f t="shared" si="124"/>
        <v>3550000</v>
      </c>
    </row>
    <row r="322" spans="1:12" s="147" customFormat="1" ht="25.5">
      <c r="A322" s="156" t="s">
        <v>98</v>
      </c>
      <c r="B322" s="136" t="s">
        <v>272</v>
      </c>
      <c r="C322" s="136" t="s">
        <v>18</v>
      </c>
      <c r="D322" s="136" t="s">
        <v>20</v>
      </c>
      <c r="E322" s="136" t="s">
        <v>14</v>
      </c>
      <c r="F322" s="136" t="s">
        <v>70</v>
      </c>
      <c r="G322" s="136" t="s">
        <v>148</v>
      </c>
      <c r="H322" s="78" t="s">
        <v>172</v>
      </c>
      <c r="I322" s="79" t="s">
        <v>95</v>
      </c>
      <c r="J322" s="118">
        <v>3550000</v>
      </c>
      <c r="K322" s="118">
        <v>3550000</v>
      </c>
      <c r="L322" s="118">
        <v>3550000</v>
      </c>
    </row>
    <row r="323" spans="1:12">
      <c r="A323" s="149" t="s">
        <v>369</v>
      </c>
      <c r="B323" s="136" t="s">
        <v>272</v>
      </c>
      <c r="C323" s="136" t="s">
        <v>18</v>
      </c>
      <c r="D323" s="136" t="s">
        <v>20</v>
      </c>
      <c r="E323" s="136" t="s">
        <v>14</v>
      </c>
      <c r="F323" s="136" t="s">
        <v>70</v>
      </c>
      <c r="G323" s="136" t="s">
        <v>148</v>
      </c>
      <c r="H323" s="148" t="s">
        <v>327</v>
      </c>
      <c r="I323" s="146"/>
      <c r="J323" s="87">
        <f t="shared" ref="J323:L324" si="125">J324</f>
        <v>352733</v>
      </c>
      <c r="K323" s="159">
        <f t="shared" si="125"/>
        <v>366522.32</v>
      </c>
      <c r="L323" s="159">
        <f t="shared" si="125"/>
        <v>380863.21</v>
      </c>
    </row>
    <row r="324" spans="1:12" ht="25.5">
      <c r="A324" s="157" t="s">
        <v>260</v>
      </c>
      <c r="B324" s="136" t="s">
        <v>272</v>
      </c>
      <c r="C324" s="136" t="s">
        <v>18</v>
      </c>
      <c r="D324" s="136" t="s">
        <v>20</v>
      </c>
      <c r="E324" s="136" t="s">
        <v>14</v>
      </c>
      <c r="F324" s="136" t="s">
        <v>70</v>
      </c>
      <c r="G324" s="136" t="s">
        <v>148</v>
      </c>
      <c r="H324" s="148" t="s">
        <v>327</v>
      </c>
      <c r="I324" s="146" t="s">
        <v>94</v>
      </c>
      <c r="J324" s="87">
        <f t="shared" si="125"/>
        <v>352733</v>
      </c>
      <c r="K324" s="159">
        <f t="shared" si="125"/>
        <v>366522.32</v>
      </c>
      <c r="L324" s="159">
        <f t="shared" si="125"/>
        <v>380863.21</v>
      </c>
    </row>
    <row r="325" spans="1:12" s="147" customFormat="1" ht="25.5">
      <c r="A325" s="156" t="s">
        <v>98</v>
      </c>
      <c r="B325" s="136" t="s">
        <v>272</v>
      </c>
      <c r="C325" s="136" t="s">
        <v>18</v>
      </c>
      <c r="D325" s="136" t="s">
        <v>20</v>
      </c>
      <c r="E325" s="136" t="s">
        <v>14</v>
      </c>
      <c r="F325" s="136" t="s">
        <v>70</v>
      </c>
      <c r="G325" s="136" t="s">
        <v>148</v>
      </c>
      <c r="H325" s="148" t="s">
        <v>327</v>
      </c>
      <c r="I325" s="146" t="s">
        <v>95</v>
      </c>
      <c r="J325" s="87">
        <f>247000+105733</f>
        <v>352733</v>
      </c>
      <c r="K325" s="159">
        <f>256560+109962.32</f>
        <v>366522.32</v>
      </c>
      <c r="L325" s="159">
        <f>266502.4+114360.81</f>
        <v>380863.21</v>
      </c>
    </row>
    <row r="326" spans="1:12" s="147" customFormat="1" ht="25.5">
      <c r="A326" s="156" t="s">
        <v>324</v>
      </c>
      <c r="B326" s="136" t="s">
        <v>272</v>
      </c>
      <c r="C326" s="136" t="s">
        <v>18</v>
      </c>
      <c r="D326" s="136" t="s">
        <v>20</v>
      </c>
      <c r="E326" s="136" t="s">
        <v>14</v>
      </c>
      <c r="F326" s="136" t="s">
        <v>70</v>
      </c>
      <c r="G326" s="136" t="s">
        <v>148</v>
      </c>
      <c r="H326" s="78" t="s">
        <v>323</v>
      </c>
      <c r="I326" s="79"/>
      <c r="J326" s="118">
        <f>J327</f>
        <v>100000</v>
      </c>
      <c r="K326" s="118">
        <f t="shared" ref="K326:L327" si="126">K327</f>
        <v>25000</v>
      </c>
      <c r="L326" s="118">
        <f t="shared" si="126"/>
        <v>25000</v>
      </c>
    </row>
    <row r="327" spans="1:12" s="147" customFormat="1" ht="25.5">
      <c r="A327" s="157" t="s">
        <v>260</v>
      </c>
      <c r="B327" s="136" t="s">
        <v>272</v>
      </c>
      <c r="C327" s="136" t="s">
        <v>18</v>
      </c>
      <c r="D327" s="136" t="s">
        <v>20</v>
      </c>
      <c r="E327" s="136" t="s">
        <v>14</v>
      </c>
      <c r="F327" s="136" t="s">
        <v>70</v>
      </c>
      <c r="G327" s="136" t="s">
        <v>148</v>
      </c>
      <c r="H327" s="78" t="s">
        <v>323</v>
      </c>
      <c r="I327" s="79" t="s">
        <v>94</v>
      </c>
      <c r="J327" s="118">
        <f>J328</f>
        <v>100000</v>
      </c>
      <c r="K327" s="118">
        <f t="shared" si="126"/>
        <v>25000</v>
      </c>
      <c r="L327" s="118">
        <f t="shared" si="126"/>
        <v>25000</v>
      </c>
    </row>
    <row r="328" spans="1:12" s="147" customFormat="1" ht="25.5">
      <c r="A328" s="156" t="s">
        <v>98</v>
      </c>
      <c r="B328" s="136" t="s">
        <v>272</v>
      </c>
      <c r="C328" s="136" t="s">
        <v>18</v>
      </c>
      <c r="D328" s="136" t="s">
        <v>20</v>
      </c>
      <c r="E328" s="136" t="s">
        <v>14</v>
      </c>
      <c r="F328" s="136" t="s">
        <v>70</v>
      </c>
      <c r="G328" s="136" t="s">
        <v>148</v>
      </c>
      <c r="H328" s="78" t="s">
        <v>323</v>
      </c>
      <c r="I328" s="79" t="s">
        <v>95</v>
      </c>
      <c r="J328" s="118">
        <v>100000</v>
      </c>
      <c r="K328" s="118">
        <v>25000</v>
      </c>
      <c r="L328" s="118">
        <v>25000</v>
      </c>
    </row>
    <row r="329" spans="1:12" s="147" customFormat="1">
      <c r="A329" s="127"/>
      <c r="B329" s="189"/>
      <c r="C329" s="190"/>
      <c r="D329" s="190"/>
      <c r="E329" s="190"/>
      <c r="F329" s="190"/>
      <c r="G329" s="190"/>
      <c r="H329" s="78"/>
      <c r="I329" s="79"/>
      <c r="J329" s="118"/>
      <c r="K329" s="118"/>
      <c r="L329" s="118"/>
    </row>
    <row r="330" spans="1:12" ht="25.5">
      <c r="A330" s="43" t="s">
        <v>409</v>
      </c>
      <c r="B330" s="48" t="s">
        <v>63</v>
      </c>
      <c r="C330" s="97"/>
      <c r="D330" s="44"/>
      <c r="E330" s="112"/>
      <c r="F330" s="97"/>
      <c r="G330" s="97"/>
      <c r="H330" s="44"/>
      <c r="I330" s="140"/>
      <c r="J330" s="122">
        <f>J331</f>
        <v>29256367.370000001</v>
      </c>
      <c r="K330" s="122">
        <f t="shared" ref="K330:L330" si="127">K331</f>
        <v>24578550.170000002</v>
      </c>
      <c r="L330" s="122">
        <f t="shared" si="127"/>
        <v>24084290.400000002</v>
      </c>
    </row>
    <row r="331" spans="1:12" ht="15.75">
      <c r="A331" s="26" t="s">
        <v>32</v>
      </c>
      <c r="B331" s="27" t="s">
        <v>63</v>
      </c>
      <c r="C331" s="27" t="s">
        <v>20</v>
      </c>
      <c r="D331" s="1"/>
      <c r="E331" s="1"/>
      <c r="F331" s="1"/>
      <c r="G331" s="1"/>
      <c r="H331" s="1"/>
      <c r="I331" s="1"/>
      <c r="J331" s="115">
        <f>+J333+J348+J342</f>
        <v>29256367.370000001</v>
      </c>
      <c r="K331" s="115">
        <f t="shared" ref="K331:L331" si="128">+K333+K348+K342</f>
        <v>24578550.170000002</v>
      </c>
      <c r="L331" s="115">
        <f t="shared" si="128"/>
        <v>24084290.400000002</v>
      </c>
    </row>
    <row r="332" spans="1:12">
      <c r="A332" s="2"/>
      <c r="B332" s="69"/>
      <c r="C332" s="69"/>
      <c r="D332" s="1"/>
      <c r="E332" s="1"/>
      <c r="F332" s="1"/>
      <c r="G332" s="1"/>
      <c r="H332" s="1"/>
      <c r="I332" s="13"/>
      <c r="J332" s="120"/>
      <c r="K332" s="120"/>
      <c r="L332" s="120"/>
    </row>
    <row r="333" spans="1:12" ht="25.5">
      <c r="A333" s="19" t="s">
        <v>34</v>
      </c>
      <c r="B333" s="14" t="s">
        <v>63</v>
      </c>
      <c r="C333" s="14" t="s">
        <v>20</v>
      </c>
      <c r="D333" s="14" t="s">
        <v>3</v>
      </c>
      <c r="E333" s="14"/>
      <c r="F333" s="14"/>
      <c r="G333" s="14"/>
      <c r="H333" s="1"/>
      <c r="I333" s="13"/>
      <c r="J333" s="116">
        <f>J334</f>
        <v>21334846</v>
      </c>
      <c r="K333" s="116">
        <f t="shared" ref="K333:L335" si="129">K334</f>
        <v>21533880.620000001</v>
      </c>
      <c r="L333" s="116">
        <f t="shared" si="129"/>
        <v>21601905.420000002</v>
      </c>
    </row>
    <row r="334" spans="1:12" s="147" customFormat="1" ht="38.25">
      <c r="A334" s="36" t="s">
        <v>294</v>
      </c>
      <c r="B334" s="1" t="s">
        <v>63</v>
      </c>
      <c r="C334" s="1" t="s">
        <v>20</v>
      </c>
      <c r="D334" s="1" t="s">
        <v>3</v>
      </c>
      <c r="E334" s="148" t="s">
        <v>19</v>
      </c>
      <c r="F334" s="1" t="s">
        <v>70</v>
      </c>
      <c r="G334" s="1" t="s">
        <v>148</v>
      </c>
      <c r="H334" s="1" t="s">
        <v>149</v>
      </c>
      <c r="I334" s="13"/>
      <c r="J334" s="87">
        <f>J335</f>
        <v>21334846</v>
      </c>
      <c r="K334" s="159">
        <f t="shared" si="129"/>
        <v>21533880.620000001</v>
      </c>
      <c r="L334" s="159">
        <f t="shared" si="129"/>
        <v>21601905.420000002</v>
      </c>
    </row>
    <row r="335" spans="1:12" ht="25.5">
      <c r="A335" s="36" t="s">
        <v>296</v>
      </c>
      <c r="B335" s="148" t="s">
        <v>63</v>
      </c>
      <c r="C335" s="148" t="s">
        <v>20</v>
      </c>
      <c r="D335" s="148" t="s">
        <v>3</v>
      </c>
      <c r="E335" s="148" t="s">
        <v>19</v>
      </c>
      <c r="F335" s="148" t="s">
        <v>127</v>
      </c>
      <c r="G335" s="148" t="s">
        <v>148</v>
      </c>
      <c r="H335" s="148" t="s">
        <v>149</v>
      </c>
      <c r="I335" s="146"/>
      <c r="J335" s="159">
        <f>J336</f>
        <v>21334846</v>
      </c>
      <c r="K335" s="159">
        <f t="shared" si="129"/>
        <v>21533880.620000001</v>
      </c>
      <c r="L335" s="159">
        <f t="shared" si="129"/>
        <v>21601905.420000002</v>
      </c>
    </row>
    <row r="336" spans="1:12" ht="25.5">
      <c r="A336" s="152" t="s">
        <v>87</v>
      </c>
      <c r="B336" s="148" t="s">
        <v>63</v>
      </c>
      <c r="C336" s="148" t="s">
        <v>20</v>
      </c>
      <c r="D336" s="148" t="s">
        <v>3</v>
      </c>
      <c r="E336" s="148" t="s">
        <v>19</v>
      </c>
      <c r="F336" s="148" t="s">
        <v>127</v>
      </c>
      <c r="G336" s="1" t="s">
        <v>148</v>
      </c>
      <c r="H336" s="1" t="s">
        <v>158</v>
      </c>
      <c r="I336" s="13"/>
      <c r="J336" s="87">
        <f>J337+J339</f>
        <v>21334846</v>
      </c>
      <c r="K336" s="159">
        <f t="shared" ref="K336:L336" si="130">K337+K339</f>
        <v>21533880.620000001</v>
      </c>
      <c r="L336" s="159">
        <f t="shared" si="130"/>
        <v>21601905.420000002</v>
      </c>
    </row>
    <row r="337" spans="1:12" ht="38.25">
      <c r="A337" s="81" t="s">
        <v>96</v>
      </c>
      <c r="B337" s="148" t="s">
        <v>63</v>
      </c>
      <c r="C337" s="148" t="s">
        <v>20</v>
      </c>
      <c r="D337" s="148" t="s">
        <v>3</v>
      </c>
      <c r="E337" s="148" t="s">
        <v>19</v>
      </c>
      <c r="F337" s="148" t="s">
        <v>127</v>
      </c>
      <c r="G337" s="1" t="s">
        <v>148</v>
      </c>
      <c r="H337" s="1" t="s">
        <v>158</v>
      </c>
      <c r="I337" s="13" t="s">
        <v>92</v>
      </c>
      <c r="J337" s="87">
        <f>J338</f>
        <v>20553046</v>
      </c>
      <c r="K337" s="159">
        <f t="shared" ref="K337:L337" si="131">K338</f>
        <v>20752080.620000001</v>
      </c>
      <c r="L337" s="159">
        <f t="shared" si="131"/>
        <v>20820105.420000002</v>
      </c>
    </row>
    <row r="338" spans="1:12">
      <c r="A338" s="81" t="s">
        <v>103</v>
      </c>
      <c r="B338" s="148" t="s">
        <v>63</v>
      </c>
      <c r="C338" s="148" t="s">
        <v>20</v>
      </c>
      <c r="D338" s="148" t="s">
        <v>3</v>
      </c>
      <c r="E338" s="148" t="s">
        <v>19</v>
      </c>
      <c r="F338" s="148" t="s">
        <v>127</v>
      </c>
      <c r="G338" s="1" t="s">
        <v>148</v>
      </c>
      <c r="H338" s="1" t="s">
        <v>158</v>
      </c>
      <c r="I338" s="13" t="s">
        <v>102</v>
      </c>
      <c r="J338" s="87">
        <v>20553046</v>
      </c>
      <c r="K338" s="159">
        <v>20752080.620000001</v>
      </c>
      <c r="L338" s="159">
        <v>20820105.420000002</v>
      </c>
    </row>
    <row r="339" spans="1:12" ht="25.5">
      <c r="A339" s="157" t="s">
        <v>260</v>
      </c>
      <c r="B339" s="148" t="s">
        <v>63</v>
      </c>
      <c r="C339" s="148" t="s">
        <v>20</v>
      </c>
      <c r="D339" s="148" t="s">
        <v>3</v>
      </c>
      <c r="E339" s="148" t="s">
        <v>19</v>
      </c>
      <c r="F339" s="148" t="s">
        <v>127</v>
      </c>
      <c r="G339" s="1" t="s">
        <v>148</v>
      </c>
      <c r="H339" s="1" t="s">
        <v>158</v>
      </c>
      <c r="I339" s="13" t="s">
        <v>94</v>
      </c>
      <c r="J339" s="87">
        <f>J340</f>
        <v>781800</v>
      </c>
      <c r="K339" s="159">
        <f t="shared" ref="K339:L339" si="132">K340</f>
        <v>781800</v>
      </c>
      <c r="L339" s="159">
        <f t="shared" si="132"/>
        <v>781800</v>
      </c>
    </row>
    <row r="340" spans="1:12" ht="25.5">
      <c r="A340" s="81" t="s">
        <v>98</v>
      </c>
      <c r="B340" s="148" t="s">
        <v>63</v>
      </c>
      <c r="C340" s="148" t="s">
        <v>20</v>
      </c>
      <c r="D340" s="148" t="s">
        <v>3</v>
      </c>
      <c r="E340" s="148" t="s">
        <v>19</v>
      </c>
      <c r="F340" s="148" t="s">
        <v>127</v>
      </c>
      <c r="G340" s="1" t="s">
        <v>148</v>
      </c>
      <c r="H340" s="1" t="s">
        <v>158</v>
      </c>
      <c r="I340" s="13" t="s">
        <v>95</v>
      </c>
      <c r="J340" s="87">
        <v>781800</v>
      </c>
      <c r="K340" s="159">
        <v>781800</v>
      </c>
      <c r="L340" s="159">
        <v>781800</v>
      </c>
    </row>
    <row r="341" spans="1:12">
      <c r="A341" s="11"/>
      <c r="B341" s="1"/>
      <c r="C341" s="1"/>
      <c r="D341" s="1"/>
      <c r="E341" s="1"/>
      <c r="F341" s="1"/>
      <c r="G341" s="1"/>
      <c r="H341" s="1"/>
      <c r="I341" s="13"/>
      <c r="J341" s="87"/>
      <c r="K341" s="159"/>
      <c r="L341" s="159"/>
    </row>
    <row r="342" spans="1:12">
      <c r="A342" s="4" t="s">
        <v>22</v>
      </c>
      <c r="B342" s="14" t="s">
        <v>63</v>
      </c>
      <c r="C342" s="14" t="s">
        <v>20</v>
      </c>
      <c r="D342" s="14" t="s">
        <v>19</v>
      </c>
      <c r="E342" s="14"/>
      <c r="F342" s="14"/>
      <c r="G342" s="14"/>
      <c r="H342" s="1"/>
      <c r="I342" s="13"/>
      <c r="J342" s="116">
        <f t="shared" ref="J342:L345" si="133">J343</f>
        <v>3382000</v>
      </c>
      <c r="K342" s="116">
        <f t="shared" si="133"/>
        <v>2000000</v>
      </c>
      <c r="L342" s="116">
        <f t="shared" si="133"/>
        <v>1500000</v>
      </c>
    </row>
    <row r="343" spans="1:12">
      <c r="A343" s="2" t="s">
        <v>83</v>
      </c>
      <c r="B343" s="1" t="s">
        <v>63</v>
      </c>
      <c r="C343" s="1" t="s">
        <v>20</v>
      </c>
      <c r="D343" s="1" t="s">
        <v>19</v>
      </c>
      <c r="E343" s="1" t="s">
        <v>82</v>
      </c>
      <c r="F343" s="1" t="s">
        <v>70</v>
      </c>
      <c r="G343" s="1" t="s">
        <v>148</v>
      </c>
      <c r="H343" s="1" t="s">
        <v>149</v>
      </c>
      <c r="I343" s="13"/>
      <c r="J343" s="87">
        <f t="shared" si="133"/>
        <v>3382000</v>
      </c>
      <c r="K343" s="159">
        <f t="shared" si="133"/>
        <v>2000000</v>
      </c>
      <c r="L343" s="159">
        <f t="shared" si="133"/>
        <v>1500000</v>
      </c>
    </row>
    <row r="344" spans="1:12">
      <c r="A344" s="5" t="s">
        <v>332</v>
      </c>
      <c r="B344" s="1" t="s">
        <v>63</v>
      </c>
      <c r="C344" s="1" t="s">
        <v>20</v>
      </c>
      <c r="D344" s="1" t="s">
        <v>19</v>
      </c>
      <c r="E344" s="1" t="s">
        <v>82</v>
      </c>
      <c r="F344" s="1" t="s">
        <v>70</v>
      </c>
      <c r="G344" s="1" t="s">
        <v>148</v>
      </c>
      <c r="H344" s="1" t="s">
        <v>185</v>
      </c>
      <c r="I344" s="13"/>
      <c r="J344" s="87">
        <f t="shared" si="133"/>
        <v>3382000</v>
      </c>
      <c r="K344" s="159">
        <f t="shared" si="133"/>
        <v>2000000</v>
      </c>
      <c r="L344" s="159">
        <f t="shared" si="133"/>
        <v>1500000</v>
      </c>
    </row>
    <row r="345" spans="1:12">
      <c r="A345" s="2" t="s">
        <v>80</v>
      </c>
      <c r="B345" s="1" t="s">
        <v>63</v>
      </c>
      <c r="C345" s="1" t="s">
        <v>20</v>
      </c>
      <c r="D345" s="1" t="s">
        <v>19</v>
      </c>
      <c r="E345" s="1" t="s">
        <v>82</v>
      </c>
      <c r="F345" s="1" t="s">
        <v>70</v>
      </c>
      <c r="G345" s="1" t="s">
        <v>148</v>
      </c>
      <c r="H345" s="1" t="s">
        <v>185</v>
      </c>
      <c r="I345" s="13" t="s">
        <v>77</v>
      </c>
      <c r="J345" s="87">
        <f t="shared" si="133"/>
        <v>3382000</v>
      </c>
      <c r="K345" s="159">
        <f t="shared" si="133"/>
        <v>2000000</v>
      </c>
      <c r="L345" s="159">
        <f t="shared" si="133"/>
        <v>1500000</v>
      </c>
    </row>
    <row r="346" spans="1:12">
      <c r="A346" s="2" t="s">
        <v>105</v>
      </c>
      <c r="B346" s="1" t="s">
        <v>63</v>
      </c>
      <c r="C346" s="1" t="s">
        <v>20</v>
      </c>
      <c r="D346" s="1" t="s">
        <v>19</v>
      </c>
      <c r="E346" s="1" t="s">
        <v>82</v>
      </c>
      <c r="F346" s="1" t="s">
        <v>70</v>
      </c>
      <c r="G346" s="1" t="s">
        <v>148</v>
      </c>
      <c r="H346" s="1" t="s">
        <v>185</v>
      </c>
      <c r="I346" s="13" t="s">
        <v>104</v>
      </c>
      <c r="J346" s="159">
        <v>3382000</v>
      </c>
      <c r="K346" s="159">
        <v>2000000</v>
      </c>
      <c r="L346" s="159">
        <v>1500000</v>
      </c>
    </row>
    <row r="347" spans="1:12">
      <c r="A347" s="2"/>
      <c r="B347" s="1"/>
      <c r="C347" s="1"/>
      <c r="D347" s="1"/>
      <c r="E347" s="1"/>
      <c r="F347" s="1"/>
      <c r="G347" s="1"/>
      <c r="H347" s="1"/>
      <c r="I347" s="13"/>
      <c r="J347" s="87"/>
      <c r="K347" s="159"/>
      <c r="L347" s="159"/>
    </row>
    <row r="348" spans="1:12">
      <c r="A348" s="4" t="s">
        <v>1</v>
      </c>
      <c r="B348" s="14" t="s">
        <v>63</v>
      </c>
      <c r="C348" s="14" t="s">
        <v>20</v>
      </c>
      <c r="D348" s="14" t="s">
        <v>49</v>
      </c>
      <c r="E348" s="14"/>
      <c r="F348" s="14"/>
      <c r="G348" s="14"/>
      <c r="H348" s="1"/>
      <c r="I348" s="13"/>
      <c r="J348" s="116">
        <f>J349</f>
        <v>4539521.37</v>
      </c>
      <c r="K348" s="116">
        <f t="shared" ref="K348:L349" si="134">K349</f>
        <v>1044669.55</v>
      </c>
      <c r="L348" s="116">
        <f t="shared" si="134"/>
        <v>982384.98</v>
      </c>
    </row>
    <row r="349" spans="1:12" s="147" customFormat="1">
      <c r="A349" s="149" t="s">
        <v>83</v>
      </c>
      <c r="B349" s="151" t="s">
        <v>63</v>
      </c>
      <c r="C349" s="151" t="s">
        <v>20</v>
      </c>
      <c r="D349" s="148" t="s">
        <v>49</v>
      </c>
      <c r="E349" s="148" t="s">
        <v>82</v>
      </c>
      <c r="F349" s="148" t="s">
        <v>70</v>
      </c>
      <c r="G349" s="148" t="s">
        <v>148</v>
      </c>
      <c r="H349" s="148" t="s">
        <v>149</v>
      </c>
      <c r="I349" s="146"/>
      <c r="J349" s="159">
        <f>J350</f>
        <v>4539521.37</v>
      </c>
      <c r="K349" s="159">
        <f t="shared" si="134"/>
        <v>1044669.55</v>
      </c>
      <c r="L349" s="159">
        <f t="shared" si="134"/>
        <v>982384.98</v>
      </c>
    </row>
    <row r="350" spans="1:12" s="147" customFormat="1" ht="38.25">
      <c r="A350" s="96" t="s">
        <v>235</v>
      </c>
      <c r="B350" s="151" t="s">
        <v>63</v>
      </c>
      <c r="C350" s="151" t="s">
        <v>20</v>
      </c>
      <c r="D350" s="148" t="s">
        <v>49</v>
      </c>
      <c r="E350" s="148" t="s">
        <v>82</v>
      </c>
      <c r="F350" s="148" t="s">
        <v>70</v>
      </c>
      <c r="G350" s="148" t="s">
        <v>148</v>
      </c>
      <c r="H350" s="148" t="s">
        <v>234</v>
      </c>
      <c r="I350" s="77"/>
      <c r="J350" s="159">
        <f>J351</f>
        <v>4539521.37</v>
      </c>
      <c r="K350" s="159">
        <f t="shared" ref="K350:L351" si="135">K351</f>
        <v>1044669.55</v>
      </c>
      <c r="L350" s="159">
        <f t="shared" si="135"/>
        <v>982384.98</v>
      </c>
    </row>
    <row r="351" spans="1:12" s="147" customFormat="1">
      <c r="A351" s="149" t="s">
        <v>80</v>
      </c>
      <c r="B351" s="151" t="s">
        <v>63</v>
      </c>
      <c r="C351" s="151" t="s">
        <v>20</v>
      </c>
      <c r="D351" s="148" t="s">
        <v>49</v>
      </c>
      <c r="E351" s="148" t="s">
        <v>82</v>
      </c>
      <c r="F351" s="148" t="s">
        <v>70</v>
      </c>
      <c r="G351" s="148" t="s">
        <v>148</v>
      </c>
      <c r="H351" s="148" t="s">
        <v>234</v>
      </c>
      <c r="I351" s="77" t="s">
        <v>77</v>
      </c>
      <c r="J351" s="126">
        <f>J352</f>
        <v>4539521.37</v>
      </c>
      <c r="K351" s="126">
        <f t="shared" si="135"/>
        <v>1044669.55</v>
      </c>
      <c r="L351" s="126">
        <f t="shared" si="135"/>
        <v>982384.98</v>
      </c>
    </row>
    <row r="352" spans="1:12" s="147" customFormat="1">
      <c r="A352" s="149" t="s">
        <v>105</v>
      </c>
      <c r="B352" s="151" t="s">
        <v>63</v>
      </c>
      <c r="C352" s="151" t="s">
        <v>20</v>
      </c>
      <c r="D352" s="148" t="s">
        <v>49</v>
      </c>
      <c r="E352" s="148" t="s">
        <v>82</v>
      </c>
      <c r="F352" s="148" t="s">
        <v>70</v>
      </c>
      <c r="G352" s="148" t="s">
        <v>148</v>
      </c>
      <c r="H352" s="148" t="s">
        <v>234</v>
      </c>
      <c r="I352" s="77" t="s">
        <v>104</v>
      </c>
      <c r="J352" s="159">
        <v>4539521.37</v>
      </c>
      <c r="K352" s="159">
        <v>1044669.55</v>
      </c>
      <c r="L352" s="159">
        <v>982384.98</v>
      </c>
    </row>
    <row r="353" spans="1:12" s="147" customFormat="1" ht="12.75" customHeight="1">
      <c r="A353" s="96"/>
      <c r="B353" s="145"/>
      <c r="C353" s="151"/>
      <c r="D353" s="148"/>
      <c r="E353" s="145"/>
      <c r="F353" s="145"/>
      <c r="G353" s="145"/>
      <c r="H353" s="38"/>
      <c r="I353" s="38"/>
      <c r="J353" s="159"/>
      <c r="K353" s="159"/>
      <c r="L353" s="159"/>
    </row>
    <row r="354" spans="1:12" ht="25.5">
      <c r="A354" s="227" t="s">
        <v>410</v>
      </c>
      <c r="B354" s="48" t="s">
        <v>403</v>
      </c>
      <c r="C354" s="44"/>
      <c r="D354" s="44"/>
      <c r="E354" s="112"/>
      <c r="F354" s="97"/>
      <c r="G354" s="97"/>
      <c r="H354" s="97"/>
      <c r="I354" s="140"/>
      <c r="J354" s="122">
        <f>J355+J439+J473+J542+J609+J622+J634+J673+J430</f>
        <v>328066485.47999996</v>
      </c>
      <c r="K354" s="122">
        <f>K355+K439+K473+K542+K609+K622+K634+K673+K430</f>
        <v>253793828.87000003</v>
      </c>
      <c r="L354" s="122">
        <f>L355+L439+L473+L542+L609+L622+L634+L673+L430</f>
        <v>252725824.44999996</v>
      </c>
    </row>
    <row r="355" spans="1:12" ht="15.75">
      <c r="A355" s="26" t="s">
        <v>32</v>
      </c>
      <c r="B355" s="27" t="s">
        <v>403</v>
      </c>
      <c r="C355" s="27" t="s">
        <v>20</v>
      </c>
      <c r="D355" s="1"/>
      <c r="E355" s="1"/>
      <c r="F355" s="1"/>
      <c r="G355" s="1"/>
      <c r="H355" s="1"/>
      <c r="I355" s="1"/>
      <c r="J355" s="115">
        <f>J356+J362+J394+J400</f>
        <v>180738704.69999999</v>
      </c>
      <c r="K355" s="115">
        <f>K356+K362+K394+K400</f>
        <v>174496434.71000001</v>
      </c>
      <c r="L355" s="115">
        <f>L356+L362+L394+L400</f>
        <v>173562200.53999996</v>
      </c>
    </row>
    <row r="356" spans="1:12" ht="25.5">
      <c r="A356" s="4" t="s">
        <v>45</v>
      </c>
      <c r="B356" s="14" t="s">
        <v>403</v>
      </c>
      <c r="C356" s="14" t="s">
        <v>20</v>
      </c>
      <c r="D356" s="15" t="s">
        <v>17</v>
      </c>
      <c r="E356" s="15"/>
      <c r="F356" s="15"/>
      <c r="G356" s="15"/>
      <c r="H356" s="15"/>
      <c r="I356" s="28"/>
      <c r="J356" s="116">
        <f t="shared" ref="J356:L359" si="136">J357</f>
        <v>3920905</v>
      </c>
      <c r="K356" s="116">
        <f t="shared" si="136"/>
        <v>3960114.35</v>
      </c>
      <c r="L356" s="116">
        <f t="shared" si="136"/>
        <v>3999715.49</v>
      </c>
    </row>
    <row r="357" spans="1:12">
      <c r="A357" s="11" t="s">
        <v>83</v>
      </c>
      <c r="B357" s="136" t="s">
        <v>403</v>
      </c>
      <c r="C357" s="136" t="s">
        <v>20</v>
      </c>
      <c r="D357" s="136" t="s">
        <v>17</v>
      </c>
      <c r="E357" s="136" t="s">
        <v>82</v>
      </c>
      <c r="F357" s="136" t="s">
        <v>70</v>
      </c>
      <c r="G357" s="1" t="s">
        <v>148</v>
      </c>
      <c r="H357" s="1" t="s">
        <v>149</v>
      </c>
      <c r="I357" s="13"/>
      <c r="J357" s="138">
        <f t="shared" si="136"/>
        <v>3920905</v>
      </c>
      <c r="K357" s="138">
        <f t="shared" si="136"/>
        <v>3960114.35</v>
      </c>
      <c r="L357" s="138">
        <f t="shared" si="136"/>
        <v>3999715.49</v>
      </c>
    </row>
    <row r="358" spans="1:12">
      <c r="A358" s="11" t="s">
        <v>330</v>
      </c>
      <c r="B358" s="136" t="s">
        <v>403</v>
      </c>
      <c r="C358" s="136" t="s">
        <v>20</v>
      </c>
      <c r="D358" s="136" t="s">
        <v>17</v>
      </c>
      <c r="E358" s="136" t="s">
        <v>82</v>
      </c>
      <c r="F358" s="136" t="s">
        <v>70</v>
      </c>
      <c r="G358" s="1" t="s">
        <v>148</v>
      </c>
      <c r="H358" s="1" t="s">
        <v>210</v>
      </c>
      <c r="I358" s="13"/>
      <c r="J358" s="138">
        <f t="shared" si="136"/>
        <v>3920905</v>
      </c>
      <c r="K358" s="138">
        <f t="shared" si="136"/>
        <v>3960114.35</v>
      </c>
      <c r="L358" s="138">
        <f t="shared" si="136"/>
        <v>3999715.49</v>
      </c>
    </row>
    <row r="359" spans="1:12" ht="38.25">
      <c r="A359" s="81" t="s">
        <v>96</v>
      </c>
      <c r="B359" s="136" t="s">
        <v>403</v>
      </c>
      <c r="C359" s="136" t="s">
        <v>20</v>
      </c>
      <c r="D359" s="136" t="s">
        <v>17</v>
      </c>
      <c r="E359" s="136" t="s">
        <v>82</v>
      </c>
      <c r="F359" s="136" t="s">
        <v>70</v>
      </c>
      <c r="G359" s="1" t="s">
        <v>148</v>
      </c>
      <c r="H359" s="1" t="s">
        <v>210</v>
      </c>
      <c r="I359" s="13" t="s">
        <v>92</v>
      </c>
      <c r="J359" s="138">
        <f t="shared" si="136"/>
        <v>3920905</v>
      </c>
      <c r="K359" s="138">
        <f t="shared" si="136"/>
        <v>3960114.35</v>
      </c>
      <c r="L359" s="138">
        <f t="shared" si="136"/>
        <v>3999715.49</v>
      </c>
    </row>
    <row r="360" spans="1:12">
      <c r="A360" s="81" t="s">
        <v>103</v>
      </c>
      <c r="B360" s="136" t="s">
        <v>403</v>
      </c>
      <c r="C360" s="136" t="s">
        <v>20</v>
      </c>
      <c r="D360" s="136" t="s">
        <v>17</v>
      </c>
      <c r="E360" s="136" t="s">
        <v>82</v>
      </c>
      <c r="F360" s="136" t="s">
        <v>70</v>
      </c>
      <c r="G360" s="1" t="s">
        <v>148</v>
      </c>
      <c r="H360" s="1" t="s">
        <v>210</v>
      </c>
      <c r="I360" s="13" t="s">
        <v>102</v>
      </c>
      <c r="J360" s="138">
        <v>3920905</v>
      </c>
      <c r="K360" s="138">
        <v>3960114.35</v>
      </c>
      <c r="L360" s="138">
        <v>3999715.49</v>
      </c>
    </row>
    <row r="361" spans="1:12" ht="15.75">
      <c r="A361" s="26"/>
      <c r="B361" s="136"/>
      <c r="C361" s="136"/>
      <c r="D361" s="136"/>
      <c r="E361" s="136"/>
      <c r="F361" s="136"/>
      <c r="G361" s="1"/>
      <c r="H361" s="1"/>
      <c r="I361" s="13"/>
      <c r="J361" s="115"/>
      <c r="K361" s="115"/>
      <c r="L361" s="115"/>
    </row>
    <row r="362" spans="1:12" ht="40.5" customHeight="1">
      <c r="A362" s="25" t="s">
        <v>0</v>
      </c>
      <c r="B362" s="14" t="s">
        <v>403</v>
      </c>
      <c r="C362" s="14" t="s">
        <v>20</v>
      </c>
      <c r="D362" s="14" t="s">
        <v>16</v>
      </c>
      <c r="E362" s="14"/>
      <c r="F362" s="14"/>
      <c r="G362" s="14"/>
      <c r="H362" s="1"/>
      <c r="I362" s="13"/>
      <c r="J362" s="116">
        <f>J363+J367</f>
        <v>111104872.36999999</v>
      </c>
      <c r="K362" s="116">
        <f t="shared" ref="K362:L362" si="137">K363+K367</f>
        <v>112545617.75</v>
      </c>
      <c r="L362" s="116">
        <f t="shared" si="137"/>
        <v>112915487.33999999</v>
      </c>
    </row>
    <row r="363" spans="1:12" ht="38.25">
      <c r="A363" s="149" t="s">
        <v>288</v>
      </c>
      <c r="B363" s="148" t="s">
        <v>403</v>
      </c>
      <c r="C363" s="148" t="s">
        <v>20</v>
      </c>
      <c r="D363" s="148" t="s">
        <v>16</v>
      </c>
      <c r="E363" s="148" t="s">
        <v>13</v>
      </c>
      <c r="F363" s="148" t="s">
        <v>70</v>
      </c>
      <c r="G363" s="148" t="s">
        <v>148</v>
      </c>
      <c r="H363" s="148" t="s">
        <v>149</v>
      </c>
      <c r="I363" s="146"/>
      <c r="J363" s="87">
        <f t="shared" ref="J363:L365" si="138">J364</f>
        <v>35000</v>
      </c>
      <c r="K363" s="159">
        <f t="shared" si="138"/>
        <v>35000</v>
      </c>
      <c r="L363" s="159">
        <f t="shared" si="138"/>
        <v>35000</v>
      </c>
    </row>
    <row r="364" spans="1:12" ht="25.5">
      <c r="A364" s="149" t="s">
        <v>62</v>
      </c>
      <c r="B364" s="148" t="s">
        <v>403</v>
      </c>
      <c r="C364" s="148" t="s">
        <v>20</v>
      </c>
      <c r="D364" s="148" t="s">
        <v>16</v>
      </c>
      <c r="E364" s="148" t="s">
        <v>13</v>
      </c>
      <c r="F364" s="148" t="s">
        <v>70</v>
      </c>
      <c r="G364" s="148" t="s">
        <v>148</v>
      </c>
      <c r="H364" s="148" t="s">
        <v>173</v>
      </c>
      <c r="I364" s="146"/>
      <c r="J364" s="87">
        <f t="shared" si="138"/>
        <v>35000</v>
      </c>
      <c r="K364" s="159">
        <f t="shared" si="138"/>
        <v>35000</v>
      </c>
      <c r="L364" s="159">
        <f t="shared" si="138"/>
        <v>35000</v>
      </c>
    </row>
    <row r="365" spans="1:12" ht="25.5">
      <c r="A365" s="157" t="s">
        <v>260</v>
      </c>
      <c r="B365" s="148" t="s">
        <v>403</v>
      </c>
      <c r="C365" s="148" t="s">
        <v>20</v>
      </c>
      <c r="D365" s="148" t="s">
        <v>16</v>
      </c>
      <c r="E365" s="148" t="s">
        <v>13</v>
      </c>
      <c r="F365" s="148" t="s">
        <v>70</v>
      </c>
      <c r="G365" s="148" t="s">
        <v>148</v>
      </c>
      <c r="H365" s="148" t="s">
        <v>173</v>
      </c>
      <c r="I365" s="146" t="s">
        <v>94</v>
      </c>
      <c r="J365" s="87">
        <f t="shared" si="138"/>
        <v>35000</v>
      </c>
      <c r="K365" s="159">
        <f t="shared" si="138"/>
        <v>35000</v>
      </c>
      <c r="L365" s="159">
        <f t="shared" si="138"/>
        <v>35000</v>
      </c>
    </row>
    <row r="366" spans="1:12" ht="25.5">
      <c r="A366" s="156" t="s">
        <v>98</v>
      </c>
      <c r="B366" s="148" t="s">
        <v>403</v>
      </c>
      <c r="C366" s="148" t="s">
        <v>20</v>
      </c>
      <c r="D366" s="148" t="s">
        <v>16</v>
      </c>
      <c r="E366" s="148" t="s">
        <v>13</v>
      </c>
      <c r="F366" s="148" t="s">
        <v>70</v>
      </c>
      <c r="G366" s="148" t="s">
        <v>148</v>
      </c>
      <c r="H366" s="148" t="s">
        <v>173</v>
      </c>
      <c r="I366" s="146" t="s">
        <v>95</v>
      </c>
      <c r="J366" s="159">
        <v>35000</v>
      </c>
      <c r="K366" s="159">
        <v>35000</v>
      </c>
      <c r="L366" s="159">
        <v>35000</v>
      </c>
    </row>
    <row r="367" spans="1:12">
      <c r="A367" s="11" t="s">
        <v>83</v>
      </c>
      <c r="B367" s="1" t="s">
        <v>403</v>
      </c>
      <c r="C367" s="1" t="s">
        <v>20</v>
      </c>
      <c r="D367" s="1" t="s">
        <v>16</v>
      </c>
      <c r="E367" s="1" t="s">
        <v>82</v>
      </c>
      <c r="F367" s="1" t="s">
        <v>70</v>
      </c>
      <c r="G367" s="1" t="s">
        <v>148</v>
      </c>
      <c r="H367" s="1" t="s">
        <v>149</v>
      </c>
      <c r="I367" s="13"/>
      <c r="J367" s="87">
        <f>J368+J375+J383+J388+J378</f>
        <v>111069872.36999999</v>
      </c>
      <c r="K367" s="159">
        <f>K368+K375+K383+K388+K378</f>
        <v>112510617.75</v>
      </c>
      <c r="L367" s="159">
        <f>L368+L375+L383+L388+L378</f>
        <v>112880487.33999999</v>
      </c>
    </row>
    <row r="368" spans="1:12" ht="25.5">
      <c r="A368" s="11" t="s">
        <v>87</v>
      </c>
      <c r="B368" s="1" t="s">
        <v>403</v>
      </c>
      <c r="C368" s="1" t="s">
        <v>20</v>
      </c>
      <c r="D368" s="1" t="s">
        <v>16</v>
      </c>
      <c r="E368" s="1" t="s">
        <v>82</v>
      </c>
      <c r="F368" s="1" t="s">
        <v>70</v>
      </c>
      <c r="G368" s="1" t="s">
        <v>148</v>
      </c>
      <c r="H368" s="1" t="s">
        <v>158</v>
      </c>
      <c r="I368" s="13"/>
      <c r="J368" s="87">
        <f>J369+J371+J373</f>
        <v>106849208</v>
      </c>
      <c r="K368" s="159">
        <f t="shared" ref="K368:L368" si="139">K369+K371+K373</f>
        <v>107949688.8</v>
      </c>
      <c r="L368" s="159">
        <f t="shared" si="139"/>
        <v>107777641.72</v>
      </c>
    </row>
    <row r="369" spans="1:12" ht="38.25">
      <c r="A369" s="81" t="s">
        <v>96</v>
      </c>
      <c r="B369" s="1" t="s">
        <v>403</v>
      </c>
      <c r="C369" s="1" t="s">
        <v>20</v>
      </c>
      <c r="D369" s="1" t="s">
        <v>16</v>
      </c>
      <c r="E369" s="1" t="s">
        <v>82</v>
      </c>
      <c r="F369" s="1" t="s">
        <v>70</v>
      </c>
      <c r="G369" s="1" t="s">
        <v>148</v>
      </c>
      <c r="H369" s="1" t="s">
        <v>158</v>
      </c>
      <c r="I369" s="13" t="s">
        <v>92</v>
      </c>
      <c r="J369" s="87">
        <f>J370</f>
        <v>98207344</v>
      </c>
      <c r="K369" s="159">
        <f t="shared" ref="K369:L369" si="140">K370</f>
        <v>99168818.319999993</v>
      </c>
      <c r="L369" s="159">
        <f t="shared" si="140"/>
        <v>99559906.5</v>
      </c>
    </row>
    <row r="370" spans="1:12">
      <c r="A370" s="81" t="s">
        <v>103</v>
      </c>
      <c r="B370" s="1" t="s">
        <v>403</v>
      </c>
      <c r="C370" s="1" t="s">
        <v>20</v>
      </c>
      <c r="D370" s="1" t="s">
        <v>16</v>
      </c>
      <c r="E370" s="1" t="s">
        <v>82</v>
      </c>
      <c r="F370" s="1" t="s">
        <v>70</v>
      </c>
      <c r="G370" s="1" t="s">
        <v>148</v>
      </c>
      <c r="H370" s="1" t="s">
        <v>158</v>
      </c>
      <c r="I370" s="13" t="s">
        <v>102</v>
      </c>
      <c r="J370" s="87">
        <f>51415054+46792290</f>
        <v>98207344</v>
      </c>
      <c r="K370" s="159">
        <f>51921605.29+47247213.03</f>
        <v>99168818.319999993</v>
      </c>
      <c r="L370" s="159">
        <f>52303221.34+47256685.16</f>
        <v>99559906.5</v>
      </c>
    </row>
    <row r="371" spans="1:12" ht="25.5">
      <c r="A371" s="157" t="s">
        <v>260</v>
      </c>
      <c r="B371" s="1" t="s">
        <v>403</v>
      </c>
      <c r="C371" s="1" t="s">
        <v>20</v>
      </c>
      <c r="D371" s="1" t="s">
        <v>16</v>
      </c>
      <c r="E371" s="1" t="s">
        <v>82</v>
      </c>
      <c r="F371" s="1" t="s">
        <v>70</v>
      </c>
      <c r="G371" s="1" t="s">
        <v>148</v>
      </c>
      <c r="H371" s="1" t="s">
        <v>158</v>
      </c>
      <c r="I371" s="13" t="s">
        <v>94</v>
      </c>
      <c r="J371" s="87">
        <f>J372</f>
        <v>8371864</v>
      </c>
      <c r="K371" s="159">
        <f t="shared" ref="K371:L371" si="141">K372</f>
        <v>8510870.4800000004</v>
      </c>
      <c r="L371" s="159">
        <f t="shared" si="141"/>
        <v>7947735.2199999997</v>
      </c>
    </row>
    <row r="372" spans="1:12" ht="25.5">
      <c r="A372" s="81" t="s">
        <v>98</v>
      </c>
      <c r="B372" s="1" t="s">
        <v>403</v>
      </c>
      <c r="C372" s="1" t="s">
        <v>20</v>
      </c>
      <c r="D372" s="1" t="s">
        <v>16</v>
      </c>
      <c r="E372" s="1" t="s">
        <v>82</v>
      </c>
      <c r="F372" s="1" t="s">
        <v>70</v>
      </c>
      <c r="G372" s="1" t="s">
        <v>148</v>
      </c>
      <c r="H372" s="1" t="s">
        <v>158</v>
      </c>
      <c r="I372" s="13" t="s">
        <v>95</v>
      </c>
      <c r="J372" s="87">
        <f>3450000+4921864</f>
        <v>8371864</v>
      </c>
      <c r="K372" s="159">
        <f>3450000+5060870.48</f>
        <v>8510870.4800000004</v>
      </c>
      <c r="L372" s="159">
        <f>3080000+4867735.22</f>
        <v>7947735.2199999997</v>
      </c>
    </row>
    <row r="373" spans="1:12">
      <c r="A373" s="81" t="s">
        <v>80</v>
      </c>
      <c r="B373" s="1" t="s">
        <v>403</v>
      </c>
      <c r="C373" s="1" t="s">
        <v>20</v>
      </c>
      <c r="D373" s="1" t="s">
        <v>16</v>
      </c>
      <c r="E373" s="1" t="s">
        <v>82</v>
      </c>
      <c r="F373" s="1" t="s">
        <v>70</v>
      </c>
      <c r="G373" s="1" t="s">
        <v>148</v>
      </c>
      <c r="H373" s="1" t="s">
        <v>158</v>
      </c>
      <c r="I373" s="13" t="s">
        <v>77</v>
      </c>
      <c r="J373" s="87">
        <f>J374</f>
        <v>270000</v>
      </c>
      <c r="K373" s="159">
        <f t="shared" ref="K373:L373" si="142">K374</f>
        <v>270000</v>
      </c>
      <c r="L373" s="159">
        <f t="shared" si="142"/>
        <v>270000</v>
      </c>
    </row>
    <row r="374" spans="1:12">
      <c r="A374" s="86" t="s">
        <v>125</v>
      </c>
      <c r="B374" s="1" t="s">
        <v>403</v>
      </c>
      <c r="C374" s="1" t="s">
        <v>20</v>
      </c>
      <c r="D374" s="1" t="s">
        <v>16</v>
      </c>
      <c r="E374" s="1" t="s">
        <v>82</v>
      </c>
      <c r="F374" s="1" t="s">
        <v>70</v>
      </c>
      <c r="G374" s="1" t="s">
        <v>148</v>
      </c>
      <c r="H374" s="1" t="s">
        <v>158</v>
      </c>
      <c r="I374" s="13" t="s">
        <v>124</v>
      </c>
      <c r="J374" s="87">
        <f>150000+120000</f>
        <v>270000</v>
      </c>
      <c r="K374" s="159">
        <f>150000+120000</f>
        <v>270000</v>
      </c>
      <c r="L374" s="159">
        <f>150000+120000</f>
        <v>270000</v>
      </c>
    </row>
    <row r="375" spans="1:12">
      <c r="A375" s="81" t="s">
        <v>90</v>
      </c>
      <c r="B375" s="1" t="s">
        <v>403</v>
      </c>
      <c r="C375" s="1" t="s">
        <v>20</v>
      </c>
      <c r="D375" s="1" t="s">
        <v>16</v>
      </c>
      <c r="E375" s="1" t="s">
        <v>82</v>
      </c>
      <c r="F375" s="1" t="s">
        <v>70</v>
      </c>
      <c r="G375" s="1" t="s">
        <v>148</v>
      </c>
      <c r="H375" s="1" t="s">
        <v>174</v>
      </c>
      <c r="I375" s="13"/>
      <c r="J375" s="87">
        <f>J376</f>
        <v>300000</v>
      </c>
      <c r="K375" s="159">
        <f t="shared" ref="K375:L376" si="143">K376</f>
        <v>300000</v>
      </c>
      <c r="L375" s="159">
        <f t="shared" si="143"/>
        <v>300000</v>
      </c>
    </row>
    <row r="376" spans="1:12" ht="25.5">
      <c r="A376" s="157" t="s">
        <v>260</v>
      </c>
      <c r="B376" s="1" t="s">
        <v>403</v>
      </c>
      <c r="C376" s="1" t="s">
        <v>20</v>
      </c>
      <c r="D376" s="1" t="s">
        <v>16</v>
      </c>
      <c r="E376" s="1" t="s">
        <v>82</v>
      </c>
      <c r="F376" s="1" t="s">
        <v>70</v>
      </c>
      <c r="G376" s="1" t="s">
        <v>148</v>
      </c>
      <c r="H376" s="1" t="s">
        <v>174</v>
      </c>
      <c r="I376" s="13" t="s">
        <v>94</v>
      </c>
      <c r="J376" s="87">
        <f>J377</f>
        <v>300000</v>
      </c>
      <c r="K376" s="159">
        <f t="shared" si="143"/>
        <v>300000</v>
      </c>
      <c r="L376" s="159">
        <f t="shared" si="143"/>
        <v>300000</v>
      </c>
    </row>
    <row r="377" spans="1:12" ht="25.5">
      <c r="A377" s="81" t="s">
        <v>98</v>
      </c>
      <c r="B377" s="1" t="s">
        <v>403</v>
      </c>
      <c r="C377" s="1" t="s">
        <v>20</v>
      </c>
      <c r="D377" s="1" t="s">
        <v>16</v>
      </c>
      <c r="E377" s="1" t="s">
        <v>82</v>
      </c>
      <c r="F377" s="1" t="s">
        <v>70</v>
      </c>
      <c r="G377" s="1" t="s">
        <v>148</v>
      </c>
      <c r="H377" s="1" t="s">
        <v>174</v>
      </c>
      <c r="I377" s="13" t="s">
        <v>95</v>
      </c>
      <c r="J377" s="87">
        <v>300000</v>
      </c>
      <c r="K377" s="159">
        <v>300000</v>
      </c>
      <c r="L377" s="159">
        <v>300000</v>
      </c>
    </row>
    <row r="378" spans="1:12">
      <c r="A378" s="2" t="s">
        <v>76</v>
      </c>
      <c r="B378" s="1" t="s">
        <v>403</v>
      </c>
      <c r="C378" s="1" t="s">
        <v>20</v>
      </c>
      <c r="D378" s="1" t="s">
        <v>16</v>
      </c>
      <c r="E378" s="1" t="s">
        <v>82</v>
      </c>
      <c r="F378" s="1" t="s">
        <v>70</v>
      </c>
      <c r="G378" s="1" t="s">
        <v>148</v>
      </c>
      <c r="H378" s="1" t="s">
        <v>176</v>
      </c>
      <c r="I378" s="13"/>
      <c r="J378" s="87">
        <f>J379+J381</f>
        <v>545094.90999999992</v>
      </c>
      <c r="K378" s="159">
        <f t="shared" ref="K378:L378" si="144">K379+K381</f>
        <v>593704.14</v>
      </c>
      <c r="L378" s="159">
        <f t="shared" si="144"/>
        <v>671120.81</v>
      </c>
    </row>
    <row r="379" spans="1:12" ht="38.25">
      <c r="A379" s="81" t="s">
        <v>96</v>
      </c>
      <c r="B379" s="1" t="s">
        <v>403</v>
      </c>
      <c r="C379" s="1" t="s">
        <v>20</v>
      </c>
      <c r="D379" s="1" t="s">
        <v>16</v>
      </c>
      <c r="E379" s="1" t="s">
        <v>82</v>
      </c>
      <c r="F379" s="1" t="s">
        <v>70</v>
      </c>
      <c r="G379" s="1" t="s">
        <v>148</v>
      </c>
      <c r="H379" s="1" t="s">
        <v>176</v>
      </c>
      <c r="I379" s="13" t="s">
        <v>92</v>
      </c>
      <c r="J379" s="87">
        <f>J380</f>
        <v>510094.91</v>
      </c>
      <c r="K379" s="159">
        <f t="shared" ref="K379:L379" si="145">K380</f>
        <v>558704.14</v>
      </c>
      <c r="L379" s="159">
        <f t="shared" si="145"/>
        <v>636120.81000000006</v>
      </c>
    </row>
    <row r="380" spans="1:12" s="147" customFormat="1">
      <c r="A380" s="81" t="s">
        <v>103</v>
      </c>
      <c r="B380" s="1" t="s">
        <v>403</v>
      </c>
      <c r="C380" s="1" t="s">
        <v>20</v>
      </c>
      <c r="D380" s="1" t="s">
        <v>16</v>
      </c>
      <c r="E380" s="1" t="s">
        <v>82</v>
      </c>
      <c r="F380" s="1" t="s">
        <v>70</v>
      </c>
      <c r="G380" s="1" t="s">
        <v>148</v>
      </c>
      <c r="H380" s="1" t="s">
        <v>176</v>
      </c>
      <c r="I380" s="13" t="s">
        <v>102</v>
      </c>
      <c r="J380" s="159">
        <f>500094.91+10000</f>
        <v>510094.91</v>
      </c>
      <c r="K380" s="159">
        <f>548704.14+10000</f>
        <v>558704.14</v>
      </c>
      <c r="L380" s="159">
        <f>626120.81+10000</f>
        <v>636120.81000000006</v>
      </c>
    </row>
    <row r="381" spans="1:12" s="147" customFormat="1" ht="25.5">
      <c r="A381" s="157" t="s">
        <v>260</v>
      </c>
      <c r="B381" s="148" t="s">
        <v>403</v>
      </c>
      <c r="C381" s="148" t="s">
        <v>20</v>
      </c>
      <c r="D381" s="148" t="s">
        <v>16</v>
      </c>
      <c r="E381" s="148" t="s">
        <v>82</v>
      </c>
      <c r="F381" s="148" t="s">
        <v>70</v>
      </c>
      <c r="G381" s="148" t="s">
        <v>148</v>
      </c>
      <c r="H381" s="148" t="s">
        <v>176</v>
      </c>
      <c r="I381" s="146" t="s">
        <v>94</v>
      </c>
      <c r="J381" s="159">
        <f>J382</f>
        <v>35000</v>
      </c>
      <c r="K381" s="159">
        <f t="shared" ref="K381:L381" si="146">K382</f>
        <v>35000</v>
      </c>
      <c r="L381" s="159">
        <f t="shared" si="146"/>
        <v>35000</v>
      </c>
    </row>
    <row r="382" spans="1:12" ht="25.5">
      <c r="A382" s="156" t="s">
        <v>98</v>
      </c>
      <c r="B382" s="148" t="s">
        <v>403</v>
      </c>
      <c r="C382" s="148" t="s">
        <v>20</v>
      </c>
      <c r="D382" s="148" t="s">
        <v>16</v>
      </c>
      <c r="E382" s="148" t="s">
        <v>82</v>
      </c>
      <c r="F382" s="148" t="s">
        <v>70</v>
      </c>
      <c r="G382" s="148" t="s">
        <v>148</v>
      </c>
      <c r="H382" s="148" t="s">
        <v>176</v>
      </c>
      <c r="I382" s="146" t="s">
        <v>95</v>
      </c>
      <c r="J382" s="159">
        <v>35000</v>
      </c>
      <c r="K382" s="159">
        <v>35000</v>
      </c>
      <c r="L382" s="159">
        <v>35000</v>
      </c>
    </row>
    <row r="383" spans="1:12" ht="51">
      <c r="A383" s="149" t="s">
        <v>231</v>
      </c>
      <c r="B383" s="1" t="s">
        <v>403</v>
      </c>
      <c r="C383" s="1" t="s">
        <v>20</v>
      </c>
      <c r="D383" s="1" t="s">
        <v>16</v>
      </c>
      <c r="E383" s="1" t="s">
        <v>82</v>
      </c>
      <c r="F383" s="1" t="s">
        <v>70</v>
      </c>
      <c r="G383" s="1" t="s">
        <v>148</v>
      </c>
      <c r="H383" s="1" t="s">
        <v>218</v>
      </c>
      <c r="I383" s="13"/>
      <c r="J383" s="87">
        <f>J384+J386</f>
        <v>2180379.6399999997</v>
      </c>
      <c r="K383" s="159">
        <f t="shared" ref="K383:L383" si="147">K384+K386</f>
        <v>2374816.54</v>
      </c>
      <c r="L383" s="159">
        <f t="shared" si="147"/>
        <v>2684483.21</v>
      </c>
    </row>
    <row r="384" spans="1:12" ht="38.25">
      <c r="A384" s="81" t="s">
        <v>96</v>
      </c>
      <c r="B384" s="1" t="s">
        <v>403</v>
      </c>
      <c r="C384" s="1" t="s">
        <v>20</v>
      </c>
      <c r="D384" s="1" t="s">
        <v>16</v>
      </c>
      <c r="E384" s="1" t="s">
        <v>82</v>
      </c>
      <c r="F384" s="1" t="s">
        <v>70</v>
      </c>
      <c r="G384" s="1" t="s">
        <v>148</v>
      </c>
      <c r="H384" s="1" t="s">
        <v>218</v>
      </c>
      <c r="I384" s="13" t="s">
        <v>92</v>
      </c>
      <c r="J384" s="87">
        <f>J385</f>
        <v>2040379.64</v>
      </c>
      <c r="K384" s="159">
        <f t="shared" ref="K384:L384" si="148">K385</f>
        <v>2234816.54</v>
      </c>
      <c r="L384" s="159">
        <f t="shared" si="148"/>
        <v>2544483.21</v>
      </c>
    </row>
    <row r="385" spans="1:12" s="147" customFormat="1">
      <c r="A385" s="81" t="s">
        <v>103</v>
      </c>
      <c r="B385" s="1" t="s">
        <v>403</v>
      </c>
      <c r="C385" s="1" t="s">
        <v>20</v>
      </c>
      <c r="D385" s="1" t="s">
        <v>16</v>
      </c>
      <c r="E385" s="1" t="s">
        <v>82</v>
      </c>
      <c r="F385" s="1" t="s">
        <v>70</v>
      </c>
      <c r="G385" s="1" t="s">
        <v>148</v>
      </c>
      <c r="H385" s="1" t="s">
        <v>218</v>
      </c>
      <c r="I385" s="13" t="s">
        <v>102</v>
      </c>
      <c r="J385" s="159">
        <f>2000379.64+40000</f>
        <v>2040379.64</v>
      </c>
      <c r="K385" s="159">
        <f>2194816.54+40000</f>
        <v>2234816.54</v>
      </c>
      <c r="L385" s="159">
        <f>2504483.21+40000</f>
        <v>2544483.21</v>
      </c>
    </row>
    <row r="386" spans="1:12" s="147" customFormat="1" ht="25.5">
      <c r="A386" s="157" t="s">
        <v>260</v>
      </c>
      <c r="B386" s="148" t="s">
        <v>403</v>
      </c>
      <c r="C386" s="148" t="s">
        <v>20</v>
      </c>
      <c r="D386" s="148" t="s">
        <v>16</v>
      </c>
      <c r="E386" s="148" t="s">
        <v>82</v>
      </c>
      <c r="F386" s="148" t="s">
        <v>70</v>
      </c>
      <c r="G386" s="148" t="s">
        <v>148</v>
      </c>
      <c r="H386" s="148" t="s">
        <v>218</v>
      </c>
      <c r="I386" s="146" t="s">
        <v>94</v>
      </c>
      <c r="J386" s="159">
        <f>J387</f>
        <v>140000</v>
      </c>
      <c r="K386" s="159">
        <f t="shared" ref="K386:L386" si="149">K387</f>
        <v>140000</v>
      </c>
      <c r="L386" s="159">
        <f t="shared" si="149"/>
        <v>140000</v>
      </c>
    </row>
    <row r="387" spans="1:12" ht="25.5">
      <c r="A387" s="156" t="s">
        <v>98</v>
      </c>
      <c r="B387" s="148" t="s">
        <v>403</v>
      </c>
      <c r="C387" s="148" t="s">
        <v>20</v>
      </c>
      <c r="D387" s="148" t="s">
        <v>16</v>
      </c>
      <c r="E387" s="148" t="s">
        <v>82</v>
      </c>
      <c r="F387" s="148" t="s">
        <v>70</v>
      </c>
      <c r="G387" s="148" t="s">
        <v>148</v>
      </c>
      <c r="H387" s="148" t="s">
        <v>218</v>
      </c>
      <c r="I387" s="146" t="s">
        <v>95</v>
      </c>
      <c r="J387" s="159">
        <v>140000</v>
      </c>
      <c r="K387" s="159">
        <v>140000</v>
      </c>
      <c r="L387" s="159">
        <v>140000</v>
      </c>
    </row>
    <row r="388" spans="1:12" ht="40.5" customHeight="1">
      <c r="A388" s="149" t="s">
        <v>233</v>
      </c>
      <c r="B388" s="1" t="s">
        <v>403</v>
      </c>
      <c r="C388" s="1" t="s">
        <v>20</v>
      </c>
      <c r="D388" s="1" t="s">
        <v>16</v>
      </c>
      <c r="E388" s="1" t="s">
        <v>82</v>
      </c>
      <c r="F388" s="1" t="s">
        <v>70</v>
      </c>
      <c r="G388" s="1" t="s">
        <v>148</v>
      </c>
      <c r="H388" s="148" t="s">
        <v>232</v>
      </c>
      <c r="I388" s="13"/>
      <c r="J388" s="87">
        <f>J389+J391</f>
        <v>1195189.8199999998</v>
      </c>
      <c r="K388" s="159">
        <f>K389+K391</f>
        <v>1292408.27</v>
      </c>
      <c r="L388" s="159">
        <f t="shared" ref="L388" si="150">L389+L391</f>
        <v>1447241.6</v>
      </c>
    </row>
    <row r="389" spans="1:12" s="147" customFormat="1" ht="38.25">
      <c r="A389" s="156" t="s">
        <v>96</v>
      </c>
      <c r="B389" s="148" t="s">
        <v>403</v>
      </c>
      <c r="C389" s="148" t="s">
        <v>20</v>
      </c>
      <c r="D389" s="148" t="s">
        <v>16</v>
      </c>
      <c r="E389" s="148" t="s">
        <v>82</v>
      </c>
      <c r="F389" s="148" t="s">
        <v>70</v>
      </c>
      <c r="G389" s="148" t="s">
        <v>148</v>
      </c>
      <c r="H389" s="148" t="s">
        <v>232</v>
      </c>
      <c r="I389" s="146" t="s">
        <v>92</v>
      </c>
      <c r="J389" s="159">
        <f>J390</f>
        <v>1020189.82</v>
      </c>
      <c r="K389" s="159">
        <f t="shared" ref="K389:L389" si="151">K390</f>
        <v>1117408.27</v>
      </c>
      <c r="L389" s="159">
        <f t="shared" si="151"/>
        <v>1272241.6000000001</v>
      </c>
    </row>
    <row r="390" spans="1:12" s="147" customFormat="1">
      <c r="A390" s="156" t="s">
        <v>103</v>
      </c>
      <c r="B390" s="148" t="s">
        <v>403</v>
      </c>
      <c r="C390" s="148" t="s">
        <v>20</v>
      </c>
      <c r="D390" s="148" t="s">
        <v>16</v>
      </c>
      <c r="E390" s="148" t="s">
        <v>82</v>
      </c>
      <c r="F390" s="148" t="s">
        <v>70</v>
      </c>
      <c r="G390" s="148" t="s">
        <v>148</v>
      </c>
      <c r="H390" s="148" t="s">
        <v>232</v>
      </c>
      <c r="I390" s="146" t="s">
        <v>102</v>
      </c>
      <c r="J390" s="159">
        <f>1000189.82+20000</f>
        <v>1020189.82</v>
      </c>
      <c r="K390" s="159">
        <f>1097408.27+20000</f>
        <v>1117408.27</v>
      </c>
      <c r="L390" s="159">
        <f>1252241.6+20000</f>
        <v>1272241.6000000001</v>
      </c>
    </row>
    <row r="391" spans="1:12" ht="25.5">
      <c r="A391" s="157" t="s">
        <v>260</v>
      </c>
      <c r="B391" s="1" t="s">
        <v>403</v>
      </c>
      <c r="C391" s="1" t="s">
        <v>20</v>
      </c>
      <c r="D391" s="1" t="s">
        <v>16</v>
      </c>
      <c r="E391" s="1" t="s">
        <v>82</v>
      </c>
      <c r="F391" s="1" t="s">
        <v>70</v>
      </c>
      <c r="G391" s="1" t="s">
        <v>148</v>
      </c>
      <c r="H391" s="148" t="s">
        <v>232</v>
      </c>
      <c r="I391" s="13" t="s">
        <v>94</v>
      </c>
      <c r="J391" s="87">
        <f>J392</f>
        <v>175000</v>
      </c>
      <c r="K391" s="159">
        <f t="shared" ref="K391:L391" si="152">K392</f>
        <v>175000</v>
      </c>
      <c r="L391" s="159">
        <f t="shared" si="152"/>
        <v>175000</v>
      </c>
    </row>
    <row r="392" spans="1:12" ht="25.5">
      <c r="A392" s="81" t="s">
        <v>98</v>
      </c>
      <c r="B392" s="1" t="s">
        <v>403</v>
      </c>
      <c r="C392" s="1" t="s">
        <v>20</v>
      </c>
      <c r="D392" s="1" t="s">
        <v>16</v>
      </c>
      <c r="E392" s="1" t="s">
        <v>82</v>
      </c>
      <c r="F392" s="1" t="s">
        <v>70</v>
      </c>
      <c r="G392" s="1" t="s">
        <v>148</v>
      </c>
      <c r="H392" s="148" t="s">
        <v>232</v>
      </c>
      <c r="I392" s="13" t="s">
        <v>95</v>
      </c>
      <c r="J392" s="87">
        <v>175000</v>
      </c>
      <c r="K392" s="159">
        <v>175000</v>
      </c>
      <c r="L392" s="159">
        <v>175000</v>
      </c>
    </row>
    <row r="393" spans="1:12">
      <c r="A393" s="11"/>
      <c r="B393" s="1"/>
      <c r="C393" s="1"/>
      <c r="D393" s="1"/>
      <c r="E393" s="1"/>
      <c r="F393" s="1"/>
      <c r="G393" s="1"/>
      <c r="H393" s="1"/>
      <c r="I393" s="13"/>
      <c r="J393" s="87"/>
      <c r="K393" s="159"/>
      <c r="L393" s="159"/>
    </row>
    <row r="394" spans="1:12">
      <c r="A394" s="25" t="s">
        <v>191</v>
      </c>
      <c r="B394" s="14" t="s">
        <v>403</v>
      </c>
      <c r="C394" s="14" t="s">
        <v>20</v>
      </c>
      <c r="D394" s="14" t="s">
        <v>18</v>
      </c>
      <c r="E394" s="14"/>
      <c r="F394" s="14"/>
      <c r="G394" s="14"/>
      <c r="H394" s="14"/>
      <c r="I394" s="30"/>
      <c r="J394" s="116">
        <f t="shared" ref="J394:L397" si="153">J395</f>
        <v>2109.33</v>
      </c>
      <c r="K394" s="116">
        <f t="shared" si="153"/>
        <v>1879.4</v>
      </c>
      <c r="L394" s="116">
        <f t="shared" si="153"/>
        <v>1878.66</v>
      </c>
    </row>
    <row r="395" spans="1:12">
      <c r="A395" s="2" t="s">
        <v>83</v>
      </c>
      <c r="B395" s="1" t="s">
        <v>403</v>
      </c>
      <c r="C395" s="1" t="s">
        <v>20</v>
      </c>
      <c r="D395" s="1" t="s">
        <v>18</v>
      </c>
      <c r="E395" s="1" t="s">
        <v>82</v>
      </c>
      <c r="F395" s="1" t="s">
        <v>70</v>
      </c>
      <c r="G395" s="1" t="s">
        <v>148</v>
      </c>
      <c r="H395" s="1" t="s">
        <v>149</v>
      </c>
      <c r="I395" s="13"/>
      <c r="J395" s="87">
        <f t="shared" si="153"/>
        <v>2109.33</v>
      </c>
      <c r="K395" s="159">
        <f t="shared" si="153"/>
        <v>1879.4</v>
      </c>
      <c r="L395" s="159">
        <f t="shared" si="153"/>
        <v>1878.66</v>
      </c>
    </row>
    <row r="396" spans="1:12" ht="38.25">
      <c r="A396" s="11" t="s">
        <v>205</v>
      </c>
      <c r="B396" s="1" t="s">
        <v>403</v>
      </c>
      <c r="C396" s="1" t="s">
        <v>20</v>
      </c>
      <c r="D396" s="1" t="s">
        <v>18</v>
      </c>
      <c r="E396" s="1" t="s">
        <v>82</v>
      </c>
      <c r="F396" s="1" t="s">
        <v>70</v>
      </c>
      <c r="G396" s="1" t="s">
        <v>148</v>
      </c>
      <c r="H396" s="1" t="s">
        <v>204</v>
      </c>
      <c r="I396" s="13"/>
      <c r="J396" s="87">
        <f t="shared" si="153"/>
        <v>2109.33</v>
      </c>
      <c r="K396" s="159">
        <f t="shared" si="153"/>
        <v>1879.4</v>
      </c>
      <c r="L396" s="159">
        <f t="shared" si="153"/>
        <v>1878.66</v>
      </c>
    </row>
    <row r="397" spans="1:12" ht="25.5">
      <c r="A397" s="157" t="s">
        <v>260</v>
      </c>
      <c r="B397" s="1" t="s">
        <v>403</v>
      </c>
      <c r="C397" s="1" t="s">
        <v>20</v>
      </c>
      <c r="D397" s="1" t="s">
        <v>18</v>
      </c>
      <c r="E397" s="1" t="s">
        <v>82</v>
      </c>
      <c r="F397" s="1" t="s">
        <v>70</v>
      </c>
      <c r="G397" s="1" t="s">
        <v>148</v>
      </c>
      <c r="H397" s="1" t="s">
        <v>204</v>
      </c>
      <c r="I397" s="13" t="s">
        <v>94</v>
      </c>
      <c r="J397" s="87">
        <f t="shared" si="153"/>
        <v>2109.33</v>
      </c>
      <c r="K397" s="159">
        <f t="shared" si="153"/>
        <v>1879.4</v>
      </c>
      <c r="L397" s="159">
        <f t="shared" si="153"/>
        <v>1878.66</v>
      </c>
    </row>
    <row r="398" spans="1:12" ht="25.5">
      <c r="A398" s="81" t="s">
        <v>98</v>
      </c>
      <c r="B398" s="1" t="s">
        <v>403</v>
      </c>
      <c r="C398" s="1" t="s">
        <v>20</v>
      </c>
      <c r="D398" s="1" t="s">
        <v>18</v>
      </c>
      <c r="E398" s="1" t="s">
        <v>82</v>
      </c>
      <c r="F398" s="1" t="s">
        <v>70</v>
      </c>
      <c r="G398" s="1" t="s">
        <v>148</v>
      </c>
      <c r="H398" s="1" t="s">
        <v>204</v>
      </c>
      <c r="I398" s="13" t="s">
        <v>95</v>
      </c>
      <c r="J398" s="87">
        <v>2109.33</v>
      </c>
      <c r="K398" s="159">
        <v>1879.4</v>
      </c>
      <c r="L398" s="159">
        <v>1878.66</v>
      </c>
    </row>
    <row r="399" spans="1:12">
      <c r="A399" s="11"/>
      <c r="B399" s="1"/>
      <c r="C399" s="1"/>
      <c r="D399" s="1"/>
      <c r="E399" s="1"/>
      <c r="F399" s="1"/>
      <c r="G399" s="1"/>
      <c r="H399" s="1"/>
      <c r="I399" s="13"/>
      <c r="J399" s="87"/>
      <c r="K399" s="159"/>
      <c r="L399" s="159"/>
    </row>
    <row r="400" spans="1:12">
      <c r="A400" s="4" t="s">
        <v>1</v>
      </c>
      <c r="B400" s="14" t="s">
        <v>403</v>
      </c>
      <c r="C400" s="14" t="s">
        <v>20</v>
      </c>
      <c r="D400" s="14" t="s">
        <v>49</v>
      </c>
      <c r="E400" s="14"/>
      <c r="F400" s="14"/>
      <c r="G400" s="14"/>
      <c r="H400" s="1"/>
      <c r="I400" s="13"/>
      <c r="J400" s="116">
        <f>J405+J418+J401+J413</f>
        <v>65710818</v>
      </c>
      <c r="K400" s="116">
        <f>K405+K418+K401+K413</f>
        <v>57988823.210000001</v>
      </c>
      <c r="L400" s="116">
        <f>L405+L418+L401+L413</f>
        <v>56645119.049999997</v>
      </c>
    </row>
    <row r="401" spans="1:12" ht="38.25">
      <c r="A401" s="149" t="s">
        <v>288</v>
      </c>
      <c r="B401" s="151" t="s">
        <v>403</v>
      </c>
      <c r="C401" s="151" t="s">
        <v>20</v>
      </c>
      <c r="D401" s="148" t="s">
        <v>49</v>
      </c>
      <c r="E401" s="148" t="s">
        <v>13</v>
      </c>
      <c r="F401" s="148" t="s">
        <v>70</v>
      </c>
      <c r="G401" s="148" t="s">
        <v>148</v>
      </c>
      <c r="H401" s="148" t="s">
        <v>149</v>
      </c>
      <c r="I401" s="13"/>
      <c r="J401" s="117">
        <f>J402</f>
        <v>900000</v>
      </c>
      <c r="K401" s="161">
        <f t="shared" ref="K401:L401" si="154">K402</f>
        <v>806400</v>
      </c>
      <c r="L401" s="161">
        <f t="shared" si="154"/>
        <v>806400</v>
      </c>
    </row>
    <row r="402" spans="1:12" ht="25.5">
      <c r="A402" s="2" t="s">
        <v>79</v>
      </c>
      <c r="B402" s="10" t="s">
        <v>403</v>
      </c>
      <c r="C402" s="1" t="s">
        <v>20</v>
      </c>
      <c r="D402" s="1" t="s">
        <v>49</v>
      </c>
      <c r="E402" s="148" t="s">
        <v>13</v>
      </c>
      <c r="F402" s="1" t="s">
        <v>70</v>
      </c>
      <c r="G402" s="1" t="s">
        <v>148</v>
      </c>
      <c r="H402" s="1" t="s">
        <v>331</v>
      </c>
      <c r="I402" s="13"/>
      <c r="J402" s="87">
        <f>SUM(J403:J403)</f>
        <v>900000</v>
      </c>
      <c r="K402" s="159">
        <f t="shared" ref="K402:L402" si="155">SUM(K403:K403)</f>
        <v>806400</v>
      </c>
      <c r="L402" s="159">
        <f t="shared" si="155"/>
        <v>806400</v>
      </c>
    </row>
    <row r="403" spans="1:12">
      <c r="A403" s="84" t="s">
        <v>80</v>
      </c>
      <c r="B403" s="10" t="s">
        <v>403</v>
      </c>
      <c r="C403" s="1" t="s">
        <v>20</v>
      </c>
      <c r="D403" s="1" t="s">
        <v>49</v>
      </c>
      <c r="E403" s="148" t="s">
        <v>13</v>
      </c>
      <c r="F403" s="1" t="s">
        <v>70</v>
      </c>
      <c r="G403" s="1" t="s">
        <v>148</v>
      </c>
      <c r="H403" s="148" t="s">
        <v>331</v>
      </c>
      <c r="I403" s="13" t="s">
        <v>77</v>
      </c>
      <c r="J403" s="87">
        <f>J404</f>
        <v>900000</v>
      </c>
      <c r="K403" s="159">
        <f t="shared" ref="K403:L403" si="156">K404</f>
        <v>806400</v>
      </c>
      <c r="L403" s="159">
        <f t="shared" si="156"/>
        <v>806400</v>
      </c>
    </row>
    <row r="404" spans="1:12" ht="25.5">
      <c r="A404" s="131" t="s">
        <v>81</v>
      </c>
      <c r="B404" s="10" t="s">
        <v>403</v>
      </c>
      <c r="C404" s="1" t="s">
        <v>20</v>
      </c>
      <c r="D404" s="1" t="s">
        <v>49</v>
      </c>
      <c r="E404" s="148" t="s">
        <v>13</v>
      </c>
      <c r="F404" s="1" t="s">
        <v>70</v>
      </c>
      <c r="G404" s="1" t="s">
        <v>148</v>
      </c>
      <c r="H404" s="148" t="s">
        <v>331</v>
      </c>
      <c r="I404" s="13" t="s">
        <v>78</v>
      </c>
      <c r="J404" s="87">
        <f>702000+198000</f>
        <v>900000</v>
      </c>
      <c r="K404" s="159">
        <f>630000+176400</f>
        <v>806400</v>
      </c>
      <c r="L404" s="159">
        <f>630000+176400</f>
        <v>806400</v>
      </c>
    </row>
    <row r="405" spans="1:12" ht="38.25">
      <c r="A405" s="149" t="s">
        <v>289</v>
      </c>
      <c r="B405" s="10" t="s">
        <v>403</v>
      </c>
      <c r="C405" s="10" t="s">
        <v>20</v>
      </c>
      <c r="D405" s="10" t="s">
        <v>49</v>
      </c>
      <c r="E405" s="10" t="s">
        <v>27</v>
      </c>
      <c r="F405" s="10" t="s">
        <v>70</v>
      </c>
      <c r="G405" s="10" t="s">
        <v>148</v>
      </c>
      <c r="H405" s="1" t="s">
        <v>149</v>
      </c>
      <c r="I405" s="13"/>
      <c r="J405" s="117">
        <f t="shared" ref="J405:L408" si="157">J406</f>
        <v>2146000</v>
      </c>
      <c r="K405" s="161">
        <f t="shared" si="157"/>
        <v>1500000</v>
      </c>
      <c r="L405" s="161">
        <f t="shared" si="157"/>
        <v>0</v>
      </c>
    </row>
    <row r="406" spans="1:12">
      <c r="A406" s="2" t="s">
        <v>211</v>
      </c>
      <c r="B406" s="10" t="s">
        <v>403</v>
      </c>
      <c r="C406" s="10" t="s">
        <v>20</v>
      </c>
      <c r="D406" s="10" t="s">
        <v>49</v>
      </c>
      <c r="E406" s="10" t="s">
        <v>27</v>
      </c>
      <c r="F406" s="10" t="s">
        <v>44</v>
      </c>
      <c r="G406" s="10" t="s">
        <v>148</v>
      </c>
      <c r="H406" s="1" t="s">
        <v>149</v>
      </c>
      <c r="I406" s="13"/>
      <c r="J406" s="117">
        <f>J407+J410</f>
        <v>2146000</v>
      </c>
      <c r="K406" s="161">
        <f t="shared" ref="K406:L406" si="158">K407+K410</f>
        <v>1500000</v>
      </c>
      <c r="L406" s="161">
        <f t="shared" si="158"/>
        <v>0</v>
      </c>
    </row>
    <row r="407" spans="1:12" ht="25.5">
      <c r="A407" s="2" t="s">
        <v>212</v>
      </c>
      <c r="B407" s="10" t="s">
        <v>403</v>
      </c>
      <c r="C407" s="10" t="s">
        <v>20</v>
      </c>
      <c r="D407" s="10" t="s">
        <v>49</v>
      </c>
      <c r="E407" s="10" t="s">
        <v>27</v>
      </c>
      <c r="F407" s="10" t="s">
        <v>44</v>
      </c>
      <c r="G407" s="10" t="s">
        <v>148</v>
      </c>
      <c r="H407" s="1" t="s">
        <v>213</v>
      </c>
      <c r="I407" s="13"/>
      <c r="J407" s="117">
        <f t="shared" si="157"/>
        <v>1500000</v>
      </c>
      <c r="K407" s="161">
        <f t="shared" si="157"/>
        <v>1500000</v>
      </c>
      <c r="L407" s="161">
        <f t="shared" si="157"/>
        <v>0</v>
      </c>
    </row>
    <row r="408" spans="1:12" ht="25.5">
      <c r="A408" s="157" t="s">
        <v>260</v>
      </c>
      <c r="B408" s="10" t="s">
        <v>403</v>
      </c>
      <c r="C408" s="10" t="s">
        <v>20</v>
      </c>
      <c r="D408" s="10" t="s">
        <v>49</v>
      </c>
      <c r="E408" s="10" t="s">
        <v>27</v>
      </c>
      <c r="F408" s="10" t="s">
        <v>44</v>
      </c>
      <c r="G408" s="10" t="s">
        <v>148</v>
      </c>
      <c r="H408" s="1" t="s">
        <v>213</v>
      </c>
      <c r="I408" s="13" t="s">
        <v>94</v>
      </c>
      <c r="J408" s="117">
        <f t="shared" si="157"/>
        <v>1500000</v>
      </c>
      <c r="K408" s="161">
        <f t="shared" si="157"/>
        <v>1500000</v>
      </c>
      <c r="L408" s="161">
        <f t="shared" si="157"/>
        <v>0</v>
      </c>
    </row>
    <row r="409" spans="1:12" ht="25.5">
      <c r="A409" s="81" t="s">
        <v>98</v>
      </c>
      <c r="B409" s="10" t="s">
        <v>403</v>
      </c>
      <c r="C409" s="10" t="s">
        <v>20</v>
      </c>
      <c r="D409" s="10" t="s">
        <v>49</v>
      </c>
      <c r="E409" s="10" t="s">
        <v>27</v>
      </c>
      <c r="F409" s="10" t="s">
        <v>44</v>
      </c>
      <c r="G409" s="10" t="s">
        <v>148</v>
      </c>
      <c r="H409" s="1" t="s">
        <v>213</v>
      </c>
      <c r="I409" s="13" t="s">
        <v>95</v>
      </c>
      <c r="J409" s="117">
        <v>1500000</v>
      </c>
      <c r="K409" s="161">
        <v>1500000</v>
      </c>
      <c r="L409" s="161"/>
    </row>
    <row r="410" spans="1:12" s="147" customFormat="1" ht="25.5">
      <c r="A410" s="150" t="s">
        <v>312</v>
      </c>
      <c r="B410" s="151" t="s">
        <v>403</v>
      </c>
      <c r="C410" s="151" t="s">
        <v>20</v>
      </c>
      <c r="D410" s="151" t="s">
        <v>49</v>
      </c>
      <c r="E410" s="151" t="s">
        <v>27</v>
      </c>
      <c r="F410" s="151" t="s">
        <v>44</v>
      </c>
      <c r="G410" s="151" t="s">
        <v>148</v>
      </c>
      <c r="H410" s="148" t="s">
        <v>311</v>
      </c>
      <c r="I410" s="146"/>
      <c r="J410" s="161">
        <f>J411</f>
        <v>646000</v>
      </c>
      <c r="K410" s="161">
        <f t="shared" ref="K410:L411" si="159">K411</f>
        <v>0</v>
      </c>
      <c r="L410" s="161">
        <f t="shared" si="159"/>
        <v>0</v>
      </c>
    </row>
    <row r="411" spans="1:12" s="147" customFormat="1" ht="25.5">
      <c r="A411" s="157" t="s">
        <v>260</v>
      </c>
      <c r="B411" s="151" t="s">
        <v>403</v>
      </c>
      <c r="C411" s="151" t="s">
        <v>20</v>
      </c>
      <c r="D411" s="151" t="s">
        <v>49</v>
      </c>
      <c r="E411" s="151" t="s">
        <v>27</v>
      </c>
      <c r="F411" s="151" t="s">
        <v>44</v>
      </c>
      <c r="G411" s="151" t="s">
        <v>148</v>
      </c>
      <c r="H411" s="148" t="s">
        <v>311</v>
      </c>
      <c r="I411" s="146" t="s">
        <v>94</v>
      </c>
      <c r="J411" s="161">
        <f>J412</f>
        <v>646000</v>
      </c>
      <c r="K411" s="161">
        <f t="shared" si="159"/>
        <v>0</v>
      </c>
      <c r="L411" s="161">
        <f t="shared" si="159"/>
        <v>0</v>
      </c>
    </row>
    <row r="412" spans="1:12" s="147" customFormat="1" ht="25.5">
      <c r="A412" s="156" t="s">
        <v>98</v>
      </c>
      <c r="B412" s="151" t="s">
        <v>403</v>
      </c>
      <c r="C412" s="151" t="s">
        <v>20</v>
      </c>
      <c r="D412" s="151" t="s">
        <v>49</v>
      </c>
      <c r="E412" s="151" t="s">
        <v>27</v>
      </c>
      <c r="F412" s="151" t="s">
        <v>44</v>
      </c>
      <c r="G412" s="151" t="s">
        <v>148</v>
      </c>
      <c r="H412" s="148" t="s">
        <v>311</v>
      </c>
      <c r="I412" s="146" t="s">
        <v>95</v>
      </c>
      <c r="J412" s="161">
        <v>646000</v>
      </c>
      <c r="K412" s="161"/>
      <c r="L412" s="161"/>
    </row>
    <row r="413" spans="1:12" s="147" customFormat="1" ht="38.25">
      <c r="A413" s="158" t="s">
        <v>294</v>
      </c>
      <c r="B413" s="3" t="s">
        <v>403</v>
      </c>
      <c r="C413" s="3" t="s">
        <v>20</v>
      </c>
      <c r="D413" s="3" t="s">
        <v>49</v>
      </c>
      <c r="E413" s="148" t="s">
        <v>19</v>
      </c>
      <c r="F413" s="148" t="s">
        <v>70</v>
      </c>
      <c r="G413" s="148" t="s">
        <v>148</v>
      </c>
      <c r="H413" s="3" t="s">
        <v>149</v>
      </c>
      <c r="I413" s="16"/>
      <c r="J413" s="159">
        <f>J414</f>
        <v>5574000</v>
      </c>
      <c r="K413" s="159">
        <f t="shared" ref="K413:L414" si="160">K414</f>
        <v>0</v>
      </c>
      <c r="L413" s="159">
        <f t="shared" si="160"/>
        <v>0</v>
      </c>
    </row>
    <row r="414" spans="1:12" s="147" customFormat="1" ht="25.5">
      <c r="A414" s="158" t="s">
        <v>296</v>
      </c>
      <c r="B414" s="3" t="s">
        <v>403</v>
      </c>
      <c r="C414" s="3" t="s">
        <v>20</v>
      </c>
      <c r="D414" s="3" t="s">
        <v>49</v>
      </c>
      <c r="E414" s="148" t="s">
        <v>19</v>
      </c>
      <c r="F414" s="148" t="s">
        <v>127</v>
      </c>
      <c r="G414" s="148" t="s">
        <v>148</v>
      </c>
      <c r="H414" s="3" t="s">
        <v>149</v>
      </c>
      <c r="I414" s="16"/>
      <c r="J414" s="159">
        <f>J415</f>
        <v>5574000</v>
      </c>
      <c r="K414" s="159">
        <f t="shared" si="160"/>
        <v>0</v>
      </c>
      <c r="L414" s="159">
        <f t="shared" si="160"/>
        <v>0</v>
      </c>
    </row>
    <row r="415" spans="1:12" s="147" customFormat="1" ht="51">
      <c r="A415" s="158" t="s">
        <v>299</v>
      </c>
      <c r="B415" s="3" t="s">
        <v>403</v>
      </c>
      <c r="C415" s="3" t="s">
        <v>20</v>
      </c>
      <c r="D415" s="3" t="s">
        <v>49</v>
      </c>
      <c r="E415" s="148" t="s">
        <v>19</v>
      </c>
      <c r="F415" s="148" t="s">
        <v>127</v>
      </c>
      <c r="G415" s="148" t="s">
        <v>148</v>
      </c>
      <c r="H415" s="3" t="s">
        <v>298</v>
      </c>
      <c r="I415" s="16"/>
      <c r="J415" s="159">
        <f>J416</f>
        <v>5574000</v>
      </c>
      <c r="K415" s="159">
        <f t="shared" ref="K415:L416" si="161">K416</f>
        <v>0</v>
      </c>
      <c r="L415" s="159">
        <f t="shared" si="161"/>
        <v>0</v>
      </c>
    </row>
    <row r="416" spans="1:12" s="147" customFormat="1">
      <c r="A416" s="9" t="s">
        <v>100</v>
      </c>
      <c r="B416" s="3" t="s">
        <v>403</v>
      </c>
      <c r="C416" s="3" t="s">
        <v>20</v>
      </c>
      <c r="D416" s="3" t="s">
        <v>49</v>
      </c>
      <c r="E416" s="148" t="s">
        <v>19</v>
      </c>
      <c r="F416" s="148" t="s">
        <v>127</v>
      </c>
      <c r="G416" s="148" t="s">
        <v>148</v>
      </c>
      <c r="H416" s="3" t="s">
        <v>298</v>
      </c>
      <c r="I416" s="16" t="s">
        <v>99</v>
      </c>
      <c r="J416" s="159">
        <f>J417</f>
        <v>5574000</v>
      </c>
      <c r="K416" s="159">
        <f t="shared" si="161"/>
        <v>0</v>
      </c>
      <c r="L416" s="159">
        <f t="shared" si="161"/>
        <v>0</v>
      </c>
    </row>
    <row r="417" spans="1:12" s="147" customFormat="1" ht="25.5">
      <c r="A417" s="9" t="s">
        <v>106</v>
      </c>
      <c r="B417" s="3" t="s">
        <v>403</v>
      </c>
      <c r="C417" s="3" t="s">
        <v>20</v>
      </c>
      <c r="D417" s="3" t="s">
        <v>49</v>
      </c>
      <c r="E417" s="148" t="s">
        <v>19</v>
      </c>
      <c r="F417" s="148" t="s">
        <v>127</v>
      </c>
      <c r="G417" s="148" t="s">
        <v>148</v>
      </c>
      <c r="H417" s="3" t="s">
        <v>298</v>
      </c>
      <c r="I417" s="16" t="s">
        <v>107</v>
      </c>
      <c r="J417" s="159">
        <v>5574000</v>
      </c>
      <c r="K417" s="159"/>
      <c r="L417" s="159"/>
    </row>
    <row r="418" spans="1:12">
      <c r="A418" s="2" t="s">
        <v>83</v>
      </c>
      <c r="B418" s="1" t="s">
        <v>403</v>
      </c>
      <c r="C418" s="1" t="s">
        <v>20</v>
      </c>
      <c r="D418" s="1" t="s">
        <v>49</v>
      </c>
      <c r="E418" s="1" t="s">
        <v>82</v>
      </c>
      <c r="F418" s="1" t="s">
        <v>70</v>
      </c>
      <c r="G418" s="1" t="s">
        <v>148</v>
      </c>
      <c r="H418" s="1" t="s">
        <v>149</v>
      </c>
      <c r="I418" s="13"/>
      <c r="J418" s="87">
        <f>+J419+J426</f>
        <v>57090818</v>
      </c>
      <c r="K418" s="159">
        <f t="shared" ref="K418:L418" si="162">+K419+K426</f>
        <v>55682423.210000001</v>
      </c>
      <c r="L418" s="159">
        <f t="shared" si="162"/>
        <v>55838719.049999997</v>
      </c>
    </row>
    <row r="419" spans="1:12">
      <c r="A419" s="2" t="s">
        <v>91</v>
      </c>
      <c r="B419" s="3" t="s">
        <v>403</v>
      </c>
      <c r="C419" s="3" t="s">
        <v>20</v>
      </c>
      <c r="D419" s="3" t="s">
        <v>49</v>
      </c>
      <c r="E419" s="1" t="s">
        <v>82</v>
      </c>
      <c r="F419" s="1" t="s">
        <v>70</v>
      </c>
      <c r="G419" s="1" t="s">
        <v>148</v>
      </c>
      <c r="H419" s="3" t="s">
        <v>177</v>
      </c>
      <c r="I419" s="16"/>
      <c r="J419" s="87">
        <f>J420+J422+J424</f>
        <v>54938418</v>
      </c>
      <c r="K419" s="159">
        <f t="shared" ref="K419:L419" si="163">K420+K422+K424</f>
        <v>55682423.210000001</v>
      </c>
      <c r="L419" s="159">
        <f t="shared" si="163"/>
        <v>55838719.049999997</v>
      </c>
    </row>
    <row r="420" spans="1:12" ht="38.25">
      <c r="A420" s="81" t="s">
        <v>96</v>
      </c>
      <c r="B420" s="3" t="s">
        <v>403</v>
      </c>
      <c r="C420" s="3" t="s">
        <v>20</v>
      </c>
      <c r="D420" s="3" t="s">
        <v>49</v>
      </c>
      <c r="E420" s="1" t="s">
        <v>82</v>
      </c>
      <c r="F420" s="1" t="s">
        <v>70</v>
      </c>
      <c r="G420" s="1" t="s">
        <v>148</v>
      </c>
      <c r="H420" s="3" t="s">
        <v>177</v>
      </c>
      <c r="I420" s="16" t="s">
        <v>92</v>
      </c>
      <c r="J420" s="87">
        <f>J421</f>
        <v>44628700</v>
      </c>
      <c r="K420" s="159">
        <f t="shared" ref="K420:L420" si="164">K421</f>
        <v>45076036.490000002</v>
      </c>
      <c r="L420" s="159">
        <f t="shared" si="164"/>
        <v>45423796.859999999</v>
      </c>
    </row>
    <row r="421" spans="1:12">
      <c r="A421" s="81" t="s">
        <v>97</v>
      </c>
      <c r="B421" s="3" t="s">
        <v>403</v>
      </c>
      <c r="C421" s="3" t="s">
        <v>20</v>
      </c>
      <c r="D421" s="3" t="s">
        <v>49</v>
      </c>
      <c r="E421" s="1" t="s">
        <v>82</v>
      </c>
      <c r="F421" s="1" t="s">
        <v>70</v>
      </c>
      <c r="G421" s="1" t="s">
        <v>148</v>
      </c>
      <c r="H421" s="3" t="s">
        <v>177</v>
      </c>
      <c r="I421" s="16" t="s">
        <v>93</v>
      </c>
      <c r="J421" s="87">
        <v>44628700</v>
      </c>
      <c r="K421" s="159">
        <v>45076036.490000002</v>
      </c>
      <c r="L421" s="159">
        <v>45423796.859999999</v>
      </c>
    </row>
    <row r="422" spans="1:12" ht="25.5">
      <c r="A422" s="157" t="s">
        <v>260</v>
      </c>
      <c r="B422" s="3" t="s">
        <v>403</v>
      </c>
      <c r="C422" s="3" t="s">
        <v>20</v>
      </c>
      <c r="D422" s="3" t="s">
        <v>49</v>
      </c>
      <c r="E422" s="1" t="s">
        <v>82</v>
      </c>
      <c r="F422" s="1" t="s">
        <v>70</v>
      </c>
      <c r="G422" s="1" t="s">
        <v>148</v>
      </c>
      <c r="H422" s="3" t="s">
        <v>177</v>
      </c>
      <c r="I422" s="16" t="s">
        <v>94</v>
      </c>
      <c r="J422" s="87">
        <f>J423</f>
        <v>10274718</v>
      </c>
      <c r="K422" s="159">
        <f t="shared" ref="K422:L422" si="165">K423</f>
        <v>10571386.720000001</v>
      </c>
      <c r="L422" s="159">
        <f t="shared" si="165"/>
        <v>10379922.189999999</v>
      </c>
    </row>
    <row r="423" spans="1:12" s="147" customFormat="1" ht="25.5">
      <c r="A423" s="81" t="s">
        <v>98</v>
      </c>
      <c r="B423" s="3" t="s">
        <v>403</v>
      </c>
      <c r="C423" s="3" t="s">
        <v>20</v>
      </c>
      <c r="D423" s="3" t="s">
        <v>49</v>
      </c>
      <c r="E423" s="1" t="s">
        <v>82</v>
      </c>
      <c r="F423" s="1" t="s">
        <v>70</v>
      </c>
      <c r="G423" s="1" t="s">
        <v>148</v>
      </c>
      <c r="H423" s="3" t="s">
        <v>177</v>
      </c>
      <c r="I423" s="16" t="s">
        <v>95</v>
      </c>
      <c r="J423" s="87">
        <v>10274718</v>
      </c>
      <c r="K423" s="159">
        <v>10571386.720000001</v>
      </c>
      <c r="L423" s="159">
        <v>10379922.189999999</v>
      </c>
    </row>
    <row r="424" spans="1:12" s="147" customFormat="1">
      <c r="A424" s="156" t="s">
        <v>80</v>
      </c>
      <c r="B424" s="3" t="s">
        <v>403</v>
      </c>
      <c r="C424" s="3" t="s">
        <v>20</v>
      </c>
      <c r="D424" s="3" t="s">
        <v>49</v>
      </c>
      <c r="E424" s="148" t="s">
        <v>82</v>
      </c>
      <c r="F424" s="148" t="s">
        <v>70</v>
      </c>
      <c r="G424" s="148" t="s">
        <v>148</v>
      </c>
      <c r="H424" s="3" t="s">
        <v>177</v>
      </c>
      <c r="I424" s="16" t="s">
        <v>77</v>
      </c>
      <c r="J424" s="159">
        <f>J425</f>
        <v>35000</v>
      </c>
      <c r="K424" s="159">
        <f t="shared" ref="K424:L424" si="166">K425</f>
        <v>35000</v>
      </c>
      <c r="L424" s="159">
        <f t="shared" si="166"/>
        <v>35000</v>
      </c>
    </row>
    <row r="425" spans="1:12">
      <c r="A425" s="158" t="s">
        <v>125</v>
      </c>
      <c r="B425" s="3" t="s">
        <v>403</v>
      </c>
      <c r="C425" s="3" t="s">
        <v>20</v>
      </c>
      <c r="D425" s="3" t="s">
        <v>49</v>
      </c>
      <c r="E425" s="148" t="s">
        <v>82</v>
      </c>
      <c r="F425" s="148" t="s">
        <v>70</v>
      </c>
      <c r="G425" s="148" t="s">
        <v>148</v>
      </c>
      <c r="H425" s="3" t="s">
        <v>177</v>
      </c>
      <c r="I425" s="16" t="s">
        <v>124</v>
      </c>
      <c r="J425" s="159">
        <v>35000</v>
      </c>
      <c r="K425" s="159">
        <v>35000</v>
      </c>
      <c r="L425" s="159">
        <v>35000</v>
      </c>
    </row>
    <row r="426" spans="1:12" s="147" customFormat="1" ht="43.5" customHeight="1">
      <c r="A426" s="158" t="s">
        <v>307</v>
      </c>
      <c r="B426" s="3" t="s">
        <v>403</v>
      </c>
      <c r="C426" s="3" t="s">
        <v>20</v>
      </c>
      <c r="D426" s="3" t="s">
        <v>49</v>
      </c>
      <c r="E426" s="148" t="s">
        <v>82</v>
      </c>
      <c r="F426" s="148" t="s">
        <v>70</v>
      </c>
      <c r="G426" s="148" t="s">
        <v>148</v>
      </c>
      <c r="H426" s="3" t="s">
        <v>306</v>
      </c>
      <c r="I426" s="16"/>
      <c r="J426" s="159">
        <f>J427</f>
        <v>2152400</v>
      </c>
      <c r="K426" s="159">
        <f t="shared" ref="K426:L427" si="167">K427</f>
        <v>0</v>
      </c>
      <c r="L426" s="159">
        <f t="shared" si="167"/>
        <v>0</v>
      </c>
    </row>
    <row r="427" spans="1:12" s="147" customFormat="1">
      <c r="A427" s="9" t="s">
        <v>100</v>
      </c>
      <c r="B427" s="3" t="s">
        <v>403</v>
      </c>
      <c r="C427" s="3" t="s">
        <v>20</v>
      </c>
      <c r="D427" s="3" t="s">
        <v>49</v>
      </c>
      <c r="E427" s="148" t="s">
        <v>82</v>
      </c>
      <c r="F427" s="148" t="s">
        <v>70</v>
      </c>
      <c r="G427" s="148" t="s">
        <v>148</v>
      </c>
      <c r="H427" s="3" t="s">
        <v>306</v>
      </c>
      <c r="I427" s="16" t="s">
        <v>99</v>
      </c>
      <c r="J427" s="159">
        <f>J428</f>
        <v>2152400</v>
      </c>
      <c r="K427" s="159">
        <f t="shared" si="167"/>
        <v>0</v>
      </c>
      <c r="L427" s="159">
        <f t="shared" si="167"/>
        <v>0</v>
      </c>
    </row>
    <row r="428" spans="1:12" s="147" customFormat="1" ht="25.5">
      <c r="A428" s="9" t="s">
        <v>106</v>
      </c>
      <c r="B428" s="3" t="s">
        <v>403</v>
      </c>
      <c r="C428" s="3" t="s">
        <v>20</v>
      </c>
      <c r="D428" s="3" t="s">
        <v>49</v>
      </c>
      <c r="E428" s="148" t="s">
        <v>82</v>
      </c>
      <c r="F428" s="148" t="s">
        <v>70</v>
      </c>
      <c r="G428" s="148" t="s">
        <v>148</v>
      </c>
      <c r="H428" s="3" t="s">
        <v>306</v>
      </c>
      <c r="I428" s="16" t="s">
        <v>107</v>
      </c>
      <c r="J428" s="159">
        <v>2152400</v>
      </c>
      <c r="K428" s="159"/>
      <c r="L428" s="159"/>
    </row>
    <row r="429" spans="1:12">
      <c r="A429" s="86"/>
      <c r="B429" s="3"/>
      <c r="C429" s="3"/>
      <c r="D429" s="3"/>
      <c r="E429" s="1"/>
      <c r="F429" s="1"/>
      <c r="G429" s="1"/>
      <c r="H429" s="3"/>
      <c r="I429" s="16"/>
      <c r="J429" s="87"/>
      <c r="K429" s="159"/>
      <c r="L429" s="159"/>
    </row>
    <row r="430" spans="1:12" s="147" customFormat="1" ht="15.75">
      <c r="A430" s="191" t="s">
        <v>54</v>
      </c>
      <c r="B430" s="27" t="s">
        <v>403</v>
      </c>
      <c r="C430" s="27" t="s">
        <v>17</v>
      </c>
      <c r="D430" s="148"/>
      <c r="E430" s="148"/>
      <c r="F430" s="148"/>
      <c r="G430" s="148"/>
      <c r="H430" s="148"/>
      <c r="I430" s="146"/>
      <c r="J430" s="115">
        <f>+J431</f>
        <v>621621.58000000007</v>
      </c>
      <c r="K430" s="115">
        <f t="shared" ref="K430:L430" si="168">+K431</f>
        <v>650717.02999999991</v>
      </c>
      <c r="L430" s="115">
        <f t="shared" si="168"/>
        <v>669603.63</v>
      </c>
    </row>
    <row r="431" spans="1:12" s="147" customFormat="1">
      <c r="A431" s="6" t="s">
        <v>55</v>
      </c>
      <c r="B431" s="15" t="s">
        <v>403</v>
      </c>
      <c r="C431" s="15" t="s">
        <v>17</v>
      </c>
      <c r="D431" s="15" t="s">
        <v>13</v>
      </c>
      <c r="E431" s="15"/>
      <c r="F431" s="15"/>
      <c r="G431" s="15"/>
      <c r="H431" s="15"/>
      <c r="I431" s="28"/>
      <c r="J431" s="116">
        <f>J432</f>
        <v>621621.58000000007</v>
      </c>
      <c r="K431" s="116">
        <f t="shared" ref="K431:L431" si="169">K432</f>
        <v>650717.02999999991</v>
      </c>
      <c r="L431" s="116">
        <f t="shared" si="169"/>
        <v>669603.63</v>
      </c>
    </row>
    <row r="432" spans="1:12" s="147" customFormat="1">
      <c r="A432" s="149" t="s">
        <v>83</v>
      </c>
      <c r="B432" s="3" t="s">
        <v>403</v>
      </c>
      <c r="C432" s="148" t="s">
        <v>17</v>
      </c>
      <c r="D432" s="148" t="s">
        <v>13</v>
      </c>
      <c r="E432" s="148" t="s">
        <v>82</v>
      </c>
      <c r="F432" s="148" t="s">
        <v>70</v>
      </c>
      <c r="G432" s="148" t="s">
        <v>148</v>
      </c>
      <c r="H432" s="148" t="s">
        <v>149</v>
      </c>
      <c r="I432" s="146"/>
      <c r="J432" s="161">
        <f>J433</f>
        <v>621621.58000000007</v>
      </c>
      <c r="K432" s="161">
        <f t="shared" ref="K432:L432" si="170">K433</f>
        <v>650717.02999999991</v>
      </c>
      <c r="L432" s="161">
        <f t="shared" si="170"/>
        <v>669603.63</v>
      </c>
    </row>
    <row r="433" spans="1:12" s="147" customFormat="1" ht="25.5">
      <c r="A433" s="152" t="s">
        <v>304</v>
      </c>
      <c r="B433" s="3" t="s">
        <v>403</v>
      </c>
      <c r="C433" s="148" t="s">
        <v>17</v>
      </c>
      <c r="D433" s="148" t="s">
        <v>13</v>
      </c>
      <c r="E433" s="148" t="s">
        <v>82</v>
      </c>
      <c r="F433" s="148" t="s">
        <v>70</v>
      </c>
      <c r="G433" s="148" t="s">
        <v>148</v>
      </c>
      <c r="H433" s="148" t="s">
        <v>305</v>
      </c>
      <c r="I433" s="146"/>
      <c r="J433" s="161">
        <f>J434+J436</f>
        <v>621621.58000000007</v>
      </c>
      <c r="K433" s="161">
        <f t="shared" ref="K433:L433" si="171">K434+K436</f>
        <v>650717.02999999991</v>
      </c>
      <c r="L433" s="161">
        <f t="shared" si="171"/>
        <v>669603.63</v>
      </c>
    </row>
    <row r="434" spans="1:12" s="147" customFormat="1" ht="38.25">
      <c r="A434" s="156" t="s">
        <v>96</v>
      </c>
      <c r="B434" s="3" t="s">
        <v>403</v>
      </c>
      <c r="C434" s="148" t="s">
        <v>17</v>
      </c>
      <c r="D434" s="148" t="s">
        <v>13</v>
      </c>
      <c r="E434" s="148" t="s">
        <v>82</v>
      </c>
      <c r="F434" s="148" t="s">
        <v>70</v>
      </c>
      <c r="G434" s="148" t="s">
        <v>148</v>
      </c>
      <c r="H434" s="148" t="s">
        <v>305</v>
      </c>
      <c r="I434" s="146" t="s">
        <v>92</v>
      </c>
      <c r="J434" s="161">
        <f>J435</f>
        <v>570116.66</v>
      </c>
      <c r="K434" s="161">
        <f t="shared" ref="K434:L434" si="172">K435</f>
        <v>623398.46</v>
      </c>
      <c r="L434" s="161">
        <f t="shared" si="172"/>
        <v>623398.46</v>
      </c>
    </row>
    <row r="435" spans="1:12" s="147" customFormat="1">
      <c r="A435" s="156" t="s">
        <v>103</v>
      </c>
      <c r="B435" s="3" t="s">
        <v>403</v>
      </c>
      <c r="C435" s="148" t="s">
        <v>17</v>
      </c>
      <c r="D435" s="148" t="s">
        <v>13</v>
      </c>
      <c r="E435" s="148" t="s">
        <v>82</v>
      </c>
      <c r="F435" s="148" t="s">
        <v>70</v>
      </c>
      <c r="G435" s="148" t="s">
        <v>148</v>
      </c>
      <c r="H435" s="148" t="s">
        <v>305</v>
      </c>
      <c r="I435" s="146" t="s">
        <v>102</v>
      </c>
      <c r="J435" s="161">
        <f>548166.66+21950</f>
        <v>570116.66</v>
      </c>
      <c r="K435" s="161">
        <f>601448.46+21950</f>
        <v>623398.46</v>
      </c>
      <c r="L435" s="161">
        <f>601448.46+21950</f>
        <v>623398.46</v>
      </c>
    </row>
    <row r="436" spans="1:12" s="147" customFormat="1" ht="25.5">
      <c r="A436" s="157" t="s">
        <v>260</v>
      </c>
      <c r="B436" s="3" t="s">
        <v>403</v>
      </c>
      <c r="C436" s="148" t="s">
        <v>17</v>
      </c>
      <c r="D436" s="148" t="s">
        <v>13</v>
      </c>
      <c r="E436" s="148" t="s">
        <v>82</v>
      </c>
      <c r="F436" s="148" t="s">
        <v>70</v>
      </c>
      <c r="G436" s="148" t="s">
        <v>148</v>
      </c>
      <c r="H436" s="148" t="s">
        <v>305</v>
      </c>
      <c r="I436" s="146" t="s">
        <v>94</v>
      </c>
      <c r="J436" s="161">
        <f>J437</f>
        <v>51504.92</v>
      </c>
      <c r="K436" s="161">
        <f t="shared" ref="K436:L436" si="173">K437</f>
        <v>27318.57</v>
      </c>
      <c r="L436" s="161">
        <f t="shared" si="173"/>
        <v>46205.17</v>
      </c>
    </row>
    <row r="437" spans="1:12" s="147" customFormat="1" ht="25.5">
      <c r="A437" s="156" t="s">
        <v>98</v>
      </c>
      <c r="B437" s="3" t="s">
        <v>403</v>
      </c>
      <c r="C437" s="148" t="s">
        <v>17</v>
      </c>
      <c r="D437" s="148" t="s">
        <v>13</v>
      </c>
      <c r="E437" s="148" t="s">
        <v>82</v>
      </c>
      <c r="F437" s="148" t="s">
        <v>70</v>
      </c>
      <c r="G437" s="148" t="s">
        <v>148</v>
      </c>
      <c r="H437" s="148" t="s">
        <v>305</v>
      </c>
      <c r="I437" s="146" t="s">
        <v>95</v>
      </c>
      <c r="J437" s="161">
        <v>51504.92</v>
      </c>
      <c r="K437" s="161">
        <v>27318.57</v>
      </c>
      <c r="L437" s="161">
        <v>46205.17</v>
      </c>
    </row>
    <row r="438" spans="1:12" s="147" customFormat="1">
      <c r="A438" s="149"/>
      <c r="B438" s="148"/>
      <c r="C438" s="148"/>
      <c r="D438" s="148"/>
      <c r="E438" s="148"/>
      <c r="F438" s="148"/>
      <c r="G438" s="148"/>
      <c r="H438" s="148"/>
      <c r="I438" s="146"/>
      <c r="J438" s="161"/>
      <c r="K438" s="161"/>
      <c r="L438" s="161"/>
    </row>
    <row r="439" spans="1:12" s="165" customFormat="1" ht="31.5">
      <c r="A439" s="100" t="s">
        <v>26</v>
      </c>
      <c r="B439" s="101" t="s">
        <v>403</v>
      </c>
      <c r="C439" s="101" t="s">
        <v>13</v>
      </c>
      <c r="D439" s="102"/>
      <c r="E439" s="102"/>
      <c r="F439" s="102"/>
      <c r="G439" s="102"/>
      <c r="H439" s="102"/>
      <c r="I439" s="103"/>
      <c r="J439" s="119">
        <f>J440+J461</f>
        <v>5759468</v>
      </c>
      <c r="K439" s="119">
        <f t="shared" ref="K439:L439" si="174">K440+K461</f>
        <v>4408686.72</v>
      </c>
      <c r="L439" s="119">
        <f t="shared" si="174"/>
        <v>3122434.19</v>
      </c>
    </row>
    <row r="440" spans="1:12" s="163" customFormat="1" ht="38.25">
      <c r="A440" s="104" t="s">
        <v>230</v>
      </c>
      <c r="B440" s="105" t="s">
        <v>403</v>
      </c>
      <c r="C440" s="105" t="s">
        <v>13</v>
      </c>
      <c r="D440" s="105" t="s">
        <v>30</v>
      </c>
      <c r="E440" s="105"/>
      <c r="F440" s="105"/>
      <c r="G440" s="105"/>
      <c r="H440" s="105"/>
      <c r="I440" s="169"/>
      <c r="J440" s="125">
        <f t="shared" ref="J440:L455" si="175">J441</f>
        <v>5689468</v>
      </c>
      <c r="K440" s="125">
        <f t="shared" si="175"/>
        <v>4338686.72</v>
      </c>
      <c r="L440" s="125">
        <f t="shared" si="175"/>
        <v>3052434.19</v>
      </c>
    </row>
    <row r="441" spans="1:12" s="163" customFormat="1">
      <c r="A441" s="167" t="s">
        <v>290</v>
      </c>
      <c r="B441" s="106" t="s">
        <v>403</v>
      </c>
      <c r="C441" s="106" t="s">
        <v>13</v>
      </c>
      <c r="D441" s="106" t="s">
        <v>30</v>
      </c>
      <c r="E441" s="106" t="s">
        <v>214</v>
      </c>
      <c r="F441" s="106" t="s">
        <v>70</v>
      </c>
      <c r="G441" s="106" t="s">
        <v>148</v>
      </c>
      <c r="H441" s="106" t="s">
        <v>149</v>
      </c>
      <c r="I441" s="107"/>
      <c r="J441" s="168">
        <f>J448+J454+J457+J442+J445+J451</f>
        <v>5689468</v>
      </c>
      <c r="K441" s="168">
        <f t="shared" ref="K441:L441" si="176">K448+K454+K457+K442+K445+K451</f>
        <v>4338686.72</v>
      </c>
      <c r="L441" s="168">
        <f t="shared" si="176"/>
        <v>3052434.19</v>
      </c>
    </row>
    <row r="442" spans="1:12" s="163" customFormat="1" ht="25.5">
      <c r="A442" s="167" t="s">
        <v>334</v>
      </c>
      <c r="B442" s="106" t="s">
        <v>403</v>
      </c>
      <c r="C442" s="106" t="s">
        <v>13</v>
      </c>
      <c r="D442" s="106" t="s">
        <v>30</v>
      </c>
      <c r="E442" s="106" t="s">
        <v>214</v>
      </c>
      <c r="F442" s="106" t="s">
        <v>70</v>
      </c>
      <c r="G442" s="106" t="s">
        <v>148</v>
      </c>
      <c r="H442" s="106" t="s">
        <v>333</v>
      </c>
      <c r="I442" s="107"/>
      <c r="J442" s="168">
        <f>J443</f>
        <v>300000</v>
      </c>
      <c r="K442" s="168">
        <f t="shared" ref="K442:L443" si="177">K443</f>
        <v>300000</v>
      </c>
      <c r="L442" s="168">
        <f t="shared" si="177"/>
        <v>300000</v>
      </c>
    </row>
    <row r="443" spans="1:12" s="163" customFormat="1" ht="25.5">
      <c r="A443" s="157" t="s">
        <v>260</v>
      </c>
      <c r="B443" s="106" t="s">
        <v>403</v>
      </c>
      <c r="C443" s="106" t="s">
        <v>13</v>
      </c>
      <c r="D443" s="106" t="s">
        <v>30</v>
      </c>
      <c r="E443" s="106" t="s">
        <v>214</v>
      </c>
      <c r="F443" s="106" t="s">
        <v>70</v>
      </c>
      <c r="G443" s="106" t="s">
        <v>148</v>
      </c>
      <c r="H443" s="106" t="s">
        <v>333</v>
      </c>
      <c r="I443" s="107" t="s">
        <v>94</v>
      </c>
      <c r="J443" s="168">
        <f>J444</f>
        <v>300000</v>
      </c>
      <c r="K443" s="168">
        <f t="shared" si="177"/>
        <v>300000</v>
      </c>
      <c r="L443" s="168">
        <f t="shared" si="177"/>
        <v>300000</v>
      </c>
    </row>
    <row r="444" spans="1:12" s="163" customFormat="1" ht="25.5">
      <c r="A444" s="156" t="s">
        <v>98</v>
      </c>
      <c r="B444" s="106" t="s">
        <v>403</v>
      </c>
      <c r="C444" s="106" t="s">
        <v>13</v>
      </c>
      <c r="D444" s="106" t="s">
        <v>30</v>
      </c>
      <c r="E444" s="106" t="s">
        <v>214</v>
      </c>
      <c r="F444" s="106" t="s">
        <v>70</v>
      </c>
      <c r="G444" s="106" t="s">
        <v>148</v>
      </c>
      <c r="H444" s="106" t="s">
        <v>333</v>
      </c>
      <c r="I444" s="107" t="s">
        <v>95</v>
      </c>
      <c r="J444" s="168">
        <v>300000</v>
      </c>
      <c r="K444" s="168">
        <v>300000</v>
      </c>
      <c r="L444" s="168">
        <v>300000</v>
      </c>
    </row>
    <row r="445" spans="1:12" s="163" customFormat="1">
      <c r="A445" s="158" t="s">
        <v>336</v>
      </c>
      <c r="B445" s="106" t="s">
        <v>403</v>
      </c>
      <c r="C445" s="106" t="s">
        <v>13</v>
      </c>
      <c r="D445" s="106" t="s">
        <v>30</v>
      </c>
      <c r="E445" s="106" t="s">
        <v>214</v>
      </c>
      <c r="F445" s="106" t="s">
        <v>70</v>
      </c>
      <c r="G445" s="106" t="s">
        <v>148</v>
      </c>
      <c r="H445" s="106" t="s">
        <v>335</v>
      </c>
      <c r="I445" s="107"/>
      <c r="J445" s="168">
        <f>J446</f>
        <v>3630468</v>
      </c>
      <c r="K445" s="168">
        <f t="shared" ref="K445:L446" si="178">K446</f>
        <v>3643686.7199999997</v>
      </c>
      <c r="L445" s="168">
        <f t="shared" si="178"/>
        <v>2357434.19</v>
      </c>
    </row>
    <row r="446" spans="1:12" s="163" customFormat="1" ht="25.5">
      <c r="A446" s="157" t="s">
        <v>260</v>
      </c>
      <c r="B446" s="106" t="s">
        <v>403</v>
      </c>
      <c r="C446" s="106" t="s">
        <v>13</v>
      </c>
      <c r="D446" s="106" t="s">
        <v>30</v>
      </c>
      <c r="E446" s="106" t="s">
        <v>214</v>
      </c>
      <c r="F446" s="106" t="s">
        <v>70</v>
      </c>
      <c r="G446" s="106" t="s">
        <v>148</v>
      </c>
      <c r="H446" s="106" t="s">
        <v>335</v>
      </c>
      <c r="I446" s="107" t="s">
        <v>94</v>
      </c>
      <c r="J446" s="168">
        <f>J447</f>
        <v>3630468</v>
      </c>
      <c r="K446" s="168">
        <f t="shared" si="178"/>
        <v>3643686.7199999997</v>
      </c>
      <c r="L446" s="168">
        <f t="shared" si="178"/>
        <v>2357434.19</v>
      </c>
    </row>
    <row r="447" spans="1:12" s="163" customFormat="1" ht="25.5">
      <c r="A447" s="156" t="s">
        <v>98</v>
      </c>
      <c r="B447" s="106" t="s">
        <v>403</v>
      </c>
      <c r="C447" s="106" t="s">
        <v>13</v>
      </c>
      <c r="D447" s="106" t="s">
        <v>30</v>
      </c>
      <c r="E447" s="106" t="s">
        <v>214</v>
      </c>
      <c r="F447" s="106" t="s">
        <v>70</v>
      </c>
      <c r="G447" s="106" t="s">
        <v>148</v>
      </c>
      <c r="H447" s="106" t="s">
        <v>335</v>
      </c>
      <c r="I447" s="107" t="s">
        <v>95</v>
      </c>
      <c r="J447" s="168">
        <f>3300000+330468</f>
        <v>3630468</v>
      </c>
      <c r="K447" s="168">
        <f>3300000+343686.72</f>
        <v>3643686.7199999997</v>
      </c>
      <c r="L447" s="168">
        <f>2000000+357434.19</f>
        <v>2357434.19</v>
      </c>
    </row>
    <row r="448" spans="1:12" s="163" customFormat="1" ht="25.5">
      <c r="A448" s="167" t="s">
        <v>337</v>
      </c>
      <c r="B448" s="106" t="s">
        <v>403</v>
      </c>
      <c r="C448" s="106" t="s">
        <v>13</v>
      </c>
      <c r="D448" s="106" t="s">
        <v>30</v>
      </c>
      <c r="E448" s="106" t="s">
        <v>214</v>
      </c>
      <c r="F448" s="106" t="s">
        <v>70</v>
      </c>
      <c r="G448" s="106" t="s">
        <v>148</v>
      </c>
      <c r="H448" s="106" t="s">
        <v>266</v>
      </c>
      <c r="I448" s="107"/>
      <c r="J448" s="168">
        <f>J449</f>
        <v>40000</v>
      </c>
      <c r="K448" s="168">
        <f t="shared" ref="K448:L449" si="179">K449</f>
        <v>40000</v>
      </c>
      <c r="L448" s="168">
        <f t="shared" si="179"/>
        <v>40000</v>
      </c>
    </row>
    <row r="449" spans="1:12" s="163" customFormat="1" ht="25.5">
      <c r="A449" s="157" t="s">
        <v>260</v>
      </c>
      <c r="B449" s="106" t="s">
        <v>403</v>
      </c>
      <c r="C449" s="106" t="s">
        <v>13</v>
      </c>
      <c r="D449" s="106" t="s">
        <v>30</v>
      </c>
      <c r="E449" s="106" t="s">
        <v>214</v>
      </c>
      <c r="F449" s="106" t="s">
        <v>70</v>
      </c>
      <c r="G449" s="106" t="s">
        <v>148</v>
      </c>
      <c r="H449" s="106" t="s">
        <v>266</v>
      </c>
      <c r="I449" s="107" t="s">
        <v>94</v>
      </c>
      <c r="J449" s="168">
        <f>J450</f>
        <v>40000</v>
      </c>
      <c r="K449" s="168">
        <f t="shared" si="179"/>
        <v>40000</v>
      </c>
      <c r="L449" s="168">
        <f t="shared" si="179"/>
        <v>40000</v>
      </c>
    </row>
    <row r="450" spans="1:12" s="163" customFormat="1" ht="25.5">
      <c r="A450" s="156" t="s">
        <v>98</v>
      </c>
      <c r="B450" s="106" t="s">
        <v>403</v>
      </c>
      <c r="C450" s="106" t="s">
        <v>13</v>
      </c>
      <c r="D450" s="106" t="s">
        <v>30</v>
      </c>
      <c r="E450" s="106" t="s">
        <v>214</v>
      </c>
      <c r="F450" s="106" t="s">
        <v>70</v>
      </c>
      <c r="G450" s="106" t="s">
        <v>148</v>
      </c>
      <c r="H450" s="106" t="s">
        <v>266</v>
      </c>
      <c r="I450" s="107" t="s">
        <v>95</v>
      </c>
      <c r="J450" s="168">
        <v>40000</v>
      </c>
      <c r="K450" s="168">
        <v>40000</v>
      </c>
      <c r="L450" s="168">
        <v>40000</v>
      </c>
    </row>
    <row r="451" spans="1:12" s="163" customFormat="1">
      <c r="A451" s="156" t="s">
        <v>339</v>
      </c>
      <c r="B451" s="106" t="s">
        <v>403</v>
      </c>
      <c r="C451" s="106" t="s">
        <v>13</v>
      </c>
      <c r="D451" s="106" t="s">
        <v>30</v>
      </c>
      <c r="E451" s="106" t="s">
        <v>214</v>
      </c>
      <c r="F451" s="106" t="s">
        <v>70</v>
      </c>
      <c r="G451" s="106" t="s">
        <v>148</v>
      </c>
      <c r="H451" s="106" t="s">
        <v>338</v>
      </c>
      <c r="I451" s="107"/>
      <c r="J451" s="168">
        <f>J452</f>
        <v>155000</v>
      </c>
      <c r="K451" s="168">
        <f t="shared" ref="K451:L452" si="180">K452</f>
        <v>155000</v>
      </c>
      <c r="L451" s="168">
        <f t="shared" si="180"/>
        <v>155000</v>
      </c>
    </row>
    <row r="452" spans="1:12" s="163" customFormat="1" ht="25.5">
      <c r="A452" s="157" t="s">
        <v>260</v>
      </c>
      <c r="B452" s="106" t="s">
        <v>403</v>
      </c>
      <c r="C452" s="106" t="s">
        <v>13</v>
      </c>
      <c r="D452" s="106" t="s">
        <v>30</v>
      </c>
      <c r="E452" s="106" t="s">
        <v>214</v>
      </c>
      <c r="F452" s="106" t="s">
        <v>70</v>
      </c>
      <c r="G452" s="106" t="s">
        <v>148</v>
      </c>
      <c r="H452" s="106" t="s">
        <v>338</v>
      </c>
      <c r="I452" s="107" t="s">
        <v>94</v>
      </c>
      <c r="J452" s="168">
        <f>J453</f>
        <v>155000</v>
      </c>
      <c r="K452" s="168">
        <f t="shared" si="180"/>
        <v>155000</v>
      </c>
      <c r="L452" s="168">
        <f t="shared" si="180"/>
        <v>155000</v>
      </c>
    </row>
    <row r="453" spans="1:12" s="163" customFormat="1" ht="25.5">
      <c r="A453" s="156" t="s">
        <v>98</v>
      </c>
      <c r="B453" s="106" t="s">
        <v>403</v>
      </c>
      <c r="C453" s="106" t="s">
        <v>13</v>
      </c>
      <c r="D453" s="106" t="s">
        <v>30</v>
      </c>
      <c r="E453" s="106" t="s">
        <v>214</v>
      </c>
      <c r="F453" s="106" t="s">
        <v>70</v>
      </c>
      <c r="G453" s="106" t="s">
        <v>148</v>
      </c>
      <c r="H453" s="106" t="s">
        <v>338</v>
      </c>
      <c r="I453" s="107" t="s">
        <v>95</v>
      </c>
      <c r="J453" s="168">
        <v>155000</v>
      </c>
      <c r="K453" s="168">
        <v>155000</v>
      </c>
      <c r="L453" s="168">
        <v>155000</v>
      </c>
    </row>
    <row r="454" spans="1:12" s="163" customFormat="1">
      <c r="A454" s="5" t="s">
        <v>332</v>
      </c>
      <c r="B454" s="106" t="s">
        <v>403</v>
      </c>
      <c r="C454" s="106" t="s">
        <v>13</v>
      </c>
      <c r="D454" s="106" t="s">
        <v>30</v>
      </c>
      <c r="E454" s="106" t="s">
        <v>214</v>
      </c>
      <c r="F454" s="106" t="s">
        <v>70</v>
      </c>
      <c r="G454" s="106" t="s">
        <v>148</v>
      </c>
      <c r="H454" s="106" t="s">
        <v>185</v>
      </c>
      <c r="I454" s="107"/>
      <c r="J454" s="168">
        <f t="shared" si="175"/>
        <v>200000</v>
      </c>
      <c r="K454" s="168">
        <f t="shared" si="175"/>
        <v>200000</v>
      </c>
      <c r="L454" s="168">
        <f t="shared" si="175"/>
        <v>200000</v>
      </c>
    </row>
    <row r="455" spans="1:12" s="163" customFormat="1">
      <c r="A455" s="149" t="s">
        <v>80</v>
      </c>
      <c r="B455" s="106" t="s">
        <v>403</v>
      </c>
      <c r="C455" s="106" t="s">
        <v>13</v>
      </c>
      <c r="D455" s="106" t="s">
        <v>30</v>
      </c>
      <c r="E455" s="106" t="s">
        <v>214</v>
      </c>
      <c r="F455" s="106" t="s">
        <v>70</v>
      </c>
      <c r="G455" s="106" t="s">
        <v>148</v>
      </c>
      <c r="H455" s="106" t="s">
        <v>185</v>
      </c>
      <c r="I455" s="107" t="s">
        <v>77</v>
      </c>
      <c r="J455" s="168">
        <f t="shared" si="175"/>
        <v>200000</v>
      </c>
      <c r="K455" s="168">
        <f t="shared" si="175"/>
        <v>200000</v>
      </c>
      <c r="L455" s="168">
        <f t="shared" si="175"/>
        <v>200000</v>
      </c>
    </row>
    <row r="456" spans="1:12" s="163" customFormat="1">
      <c r="A456" s="149" t="s">
        <v>105</v>
      </c>
      <c r="B456" s="106" t="s">
        <v>403</v>
      </c>
      <c r="C456" s="106" t="s">
        <v>13</v>
      </c>
      <c r="D456" s="106" t="s">
        <v>30</v>
      </c>
      <c r="E456" s="106" t="s">
        <v>214</v>
      </c>
      <c r="F456" s="106" t="s">
        <v>70</v>
      </c>
      <c r="G456" s="106" t="s">
        <v>148</v>
      </c>
      <c r="H456" s="106" t="s">
        <v>185</v>
      </c>
      <c r="I456" s="107" t="s">
        <v>104</v>
      </c>
      <c r="J456" s="168">
        <v>200000</v>
      </c>
      <c r="K456" s="168">
        <v>200000</v>
      </c>
      <c r="L456" s="168">
        <v>200000</v>
      </c>
    </row>
    <row r="457" spans="1:12" s="163" customFormat="1" ht="25.5">
      <c r="A457" s="150" t="s">
        <v>312</v>
      </c>
      <c r="B457" s="106" t="s">
        <v>403</v>
      </c>
      <c r="C457" s="106" t="s">
        <v>13</v>
      </c>
      <c r="D457" s="106" t="s">
        <v>30</v>
      </c>
      <c r="E457" s="106" t="s">
        <v>214</v>
      </c>
      <c r="F457" s="106" t="s">
        <v>70</v>
      </c>
      <c r="G457" s="106" t="s">
        <v>148</v>
      </c>
      <c r="H457" s="106" t="s">
        <v>311</v>
      </c>
      <c r="I457" s="107"/>
      <c r="J457" s="168">
        <f>J458</f>
        <v>1364000</v>
      </c>
      <c r="K457" s="168">
        <f t="shared" ref="K457:L458" si="181">K458</f>
        <v>0</v>
      </c>
      <c r="L457" s="168">
        <f t="shared" si="181"/>
        <v>0</v>
      </c>
    </row>
    <row r="458" spans="1:12" s="163" customFormat="1" ht="25.5">
      <c r="A458" s="157" t="s">
        <v>260</v>
      </c>
      <c r="B458" s="106" t="s">
        <v>403</v>
      </c>
      <c r="C458" s="106" t="s">
        <v>13</v>
      </c>
      <c r="D458" s="106" t="s">
        <v>30</v>
      </c>
      <c r="E458" s="106" t="s">
        <v>214</v>
      </c>
      <c r="F458" s="106" t="s">
        <v>70</v>
      </c>
      <c r="G458" s="106" t="s">
        <v>148</v>
      </c>
      <c r="H458" s="106" t="s">
        <v>311</v>
      </c>
      <c r="I458" s="107" t="s">
        <v>94</v>
      </c>
      <c r="J458" s="168">
        <f>J459</f>
        <v>1364000</v>
      </c>
      <c r="K458" s="168">
        <f t="shared" si="181"/>
        <v>0</v>
      </c>
      <c r="L458" s="168">
        <f t="shared" si="181"/>
        <v>0</v>
      </c>
    </row>
    <row r="459" spans="1:12" s="163" customFormat="1" ht="25.5">
      <c r="A459" s="156" t="s">
        <v>98</v>
      </c>
      <c r="B459" s="106" t="s">
        <v>403</v>
      </c>
      <c r="C459" s="106" t="s">
        <v>13</v>
      </c>
      <c r="D459" s="106" t="s">
        <v>30</v>
      </c>
      <c r="E459" s="106" t="s">
        <v>214</v>
      </c>
      <c r="F459" s="106" t="s">
        <v>70</v>
      </c>
      <c r="G459" s="106" t="s">
        <v>148</v>
      </c>
      <c r="H459" s="106" t="s">
        <v>311</v>
      </c>
      <c r="I459" s="107" t="s">
        <v>95</v>
      </c>
      <c r="J459" s="168">
        <v>1364000</v>
      </c>
      <c r="K459" s="168"/>
      <c r="L459" s="168"/>
    </row>
    <row r="460" spans="1:12">
      <c r="A460" s="170"/>
      <c r="B460" s="106"/>
      <c r="C460" s="106"/>
      <c r="D460" s="106"/>
      <c r="E460" s="106"/>
      <c r="F460" s="106"/>
      <c r="G460" s="106"/>
      <c r="H460" s="106"/>
      <c r="I460" s="107"/>
      <c r="J460" s="168"/>
      <c r="K460" s="168"/>
      <c r="L460" s="168"/>
    </row>
    <row r="461" spans="1:12" ht="25.5">
      <c r="A461" s="104" t="s">
        <v>192</v>
      </c>
      <c r="B461" s="105" t="s">
        <v>403</v>
      </c>
      <c r="C461" s="105" t="s">
        <v>13</v>
      </c>
      <c r="D461" s="105" t="s">
        <v>29</v>
      </c>
      <c r="E461" s="106"/>
      <c r="F461" s="106"/>
      <c r="G461" s="106"/>
      <c r="H461" s="106"/>
      <c r="I461" s="107"/>
      <c r="J461" s="125">
        <f>J462+J466</f>
        <v>70000</v>
      </c>
      <c r="K461" s="125">
        <f t="shared" ref="K461:L461" si="182">K462+K466</f>
        <v>70000</v>
      </c>
      <c r="L461" s="125">
        <f t="shared" si="182"/>
        <v>70000</v>
      </c>
    </row>
    <row r="462" spans="1:12" s="163" customFormat="1" ht="38.25">
      <c r="A462" s="156" t="s">
        <v>342</v>
      </c>
      <c r="B462" s="3" t="s">
        <v>403</v>
      </c>
      <c r="C462" s="3" t="s">
        <v>13</v>
      </c>
      <c r="D462" s="3" t="s">
        <v>29</v>
      </c>
      <c r="E462" s="3" t="s">
        <v>29</v>
      </c>
      <c r="F462" s="3" t="s">
        <v>70</v>
      </c>
      <c r="G462" s="3" t="s">
        <v>148</v>
      </c>
      <c r="H462" s="3" t="s">
        <v>149</v>
      </c>
      <c r="I462" s="16"/>
      <c r="J462" s="202">
        <f>J463</f>
        <v>20000</v>
      </c>
      <c r="K462" s="202">
        <f t="shared" ref="K462:L462" si="183">K463</f>
        <v>20000</v>
      </c>
      <c r="L462" s="202">
        <f t="shared" si="183"/>
        <v>20000</v>
      </c>
    </row>
    <row r="463" spans="1:12" s="163" customFormat="1" ht="25.5">
      <c r="A463" s="156" t="s">
        <v>343</v>
      </c>
      <c r="B463" s="3" t="s">
        <v>403</v>
      </c>
      <c r="C463" s="3" t="s">
        <v>13</v>
      </c>
      <c r="D463" s="3" t="s">
        <v>29</v>
      </c>
      <c r="E463" s="3" t="s">
        <v>29</v>
      </c>
      <c r="F463" s="3" t="s">
        <v>70</v>
      </c>
      <c r="G463" s="3" t="s">
        <v>148</v>
      </c>
      <c r="H463" s="3" t="s">
        <v>341</v>
      </c>
      <c r="I463" s="16"/>
      <c r="J463" s="202">
        <f t="shared" ref="J463:L464" si="184">J464</f>
        <v>20000</v>
      </c>
      <c r="K463" s="202">
        <f t="shared" si="184"/>
        <v>20000</v>
      </c>
      <c r="L463" s="202">
        <f t="shared" si="184"/>
        <v>20000</v>
      </c>
    </row>
    <row r="464" spans="1:12" s="163" customFormat="1" ht="25.5">
      <c r="A464" s="157" t="s">
        <v>260</v>
      </c>
      <c r="B464" s="3" t="s">
        <v>403</v>
      </c>
      <c r="C464" s="3" t="s">
        <v>13</v>
      </c>
      <c r="D464" s="3" t="s">
        <v>29</v>
      </c>
      <c r="E464" s="3" t="s">
        <v>29</v>
      </c>
      <c r="F464" s="3" t="s">
        <v>70</v>
      </c>
      <c r="G464" s="3" t="s">
        <v>148</v>
      </c>
      <c r="H464" s="3" t="s">
        <v>341</v>
      </c>
      <c r="I464" s="16" t="s">
        <v>94</v>
      </c>
      <c r="J464" s="202">
        <f t="shared" si="184"/>
        <v>20000</v>
      </c>
      <c r="K464" s="202">
        <f t="shared" si="184"/>
        <v>20000</v>
      </c>
      <c r="L464" s="202">
        <f t="shared" si="184"/>
        <v>20000</v>
      </c>
    </row>
    <row r="465" spans="1:12" s="163" customFormat="1" ht="25.5">
      <c r="A465" s="156" t="s">
        <v>98</v>
      </c>
      <c r="B465" s="3" t="s">
        <v>403</v>
      </c>
      <c r="C465" s="3" t="s">
        <v>13</v>
      </c>
      <c r="D465" s="3" t="s">
        <v>29</v>
      </c>
      <c r="E465" s="3" t="s">
        <v>29</v>
      </c>
      <c r="F465" s="3" t="s">
        <v>70</v>
      </c>
      <c r="G465" s="3" t="s">
        <v>148</v>
      </c>
      <c r="H465" s="3" t="s">
        <v>341</v>
      </c>
      <c r="I465" s="16" t="s">
        <v>95</v>
      </c>
      <c r="J465" s="202">
        <v>20000</v>
      </c>
      <c r="K465" s="202">
        <v>20000</v>
      </c>
      <c r="L465" s="159">
        <v>20000</v>
      </c>
    </row>
    <row r="466" spans="1:12" ht="25.5">
      <c r="A466" s="86" t="s">
        <v>291</v>
      </c>
      <c r="B466" s="3" t="s">
        <v>403</v>
      </c>
      <c r="C466" s="3" t="s">
        <v>13</v>
      </c>
      <c r="D466" s="3" t="s">
        <v>29</v>
      </c>
      <c r="E466" s="1" t="s">
        <v>194</v>
      </c>
      <c r="F466" s="1" t="s">
        <v>70</v>
      </c>
      <c r="G466" s="1" t="s">
        <v>148</v>
      </c>
      <c r="H466" s="3" t="s">
        <v>149</v>
      </c>
      <c r="I466" s="16"/>
      <c r="J466" s="87">
        <f t="shared" ref="J466:L470" si="185">J467</f>
        <v>50000</v>
      </c>
      <c r="K466" s="159">
        <f t="shared" si="185"/>
        <v>50000</v>
      </c>
      <c r="L466" s="159">
        <f t="shared" si="185"/>
        <v>50000</v>
      </c>
    </row>
    <row r="467" spans="1:12">
      <c r="A467" s="86" t="s">
        <v>340</v>
      </c>
      <c r="B467" s="3" t="s">
        <v>403</v>
      </c>
      <c r="C467" s="3" t="s">
        <v>13</v>
      </c>
      <c r="D467" s="3" t="s">
        <v>29</v>
      </c>
      <c r="E467" s="1" t="s">
        <v>194</v>
      </c>
      <c r="F467" s="1" t="s">
        <v>70</v>
      </c>
      <c r="G467" s="1" t="s">
        <v>148</v>
      </c>
      <c r="H467" s="3" t="s">
        <v>195</v>
      </c>
      <c r="I467" s="16"/>
      <c r="J467" s="87">
        <f>J468+J470</f>
        <v>50000</v>
      </c>
      <c r="K467" s="159">
        <f t="shared" ref="K467:L467" si="186">K468+K470</f>
        <v>50000</v>
      </c>
      <c r="L467" s="159">
        <f t="shared" si="186"/>
        <v>50000</v>
      </c>
    </row>
    <row r="468" spans="1:12" s="147" customFormat="1" ht="25.5">
      <c r="A468" s="157" t="s">
        <v>260</v>
      </c>
      <c r="B468" s="3" t="s">
        <v>403</v>
      </c>
      <c r="C468" s="3" t="s">
        <v>13</v>
      </c>
      <c r="D468" s="3" t="s">
        <v>29</v>
      </c>
      <c r="E468" s="148" t="s">
        <v>194</v>
      </c>
      <c r="F468" s="148" t="s">
        <v>70</v>
      </c>
      <c r="G468" s="148" t="s">
        <v>148</v>
      </c>
      <c r="H468" s="3" t="s">
        <v>195</v>
      </c>
      <c r="I468" s="16" t="s">
        <v>94</v>
      </c>
      <c r="J468" s="159">
        <f>J469</f>
        <v>30000</v>
      </c>
      <c r="K468" s="159">
        <f t="shared" ref="K468:L468" si="187">K469</f>
        <v>30000</v>
      </c>
      <c r="L468" s="159">
        <f t="shared" si="187"/>
        <v>30000</v>
      </c>
    </row>
    <row r="469" spans="1:12" s="147" customFormat="1" ht="25.5">
      <c r="A469" s="156" t="s">
        <v>98</v>
      </c>
      <c r="B469" s="3" t="s">
        <v>403</v>
      </c>
      <c r="C469" s="3" t="s">
        <v>13</v>
      </c>
      <c r="D469" s="3" t="s">
        <v>29</v>
      </c>
      <c r="E469" s="148" t="s">
        <v>194</v>
      </c>
      <c r="F469" s="148" t="s">
        <v>70</v>
      </c>
      <c r="G469" s="148" t="s">
        <v>148</v>
      </c>
      <c r="H469" s="3" t="s">
        <v>195</v>
      </c>
      <c r="I469" s="16" t="s">
        <v>95</v>
      </c>
      <c r="J469" s="159">
        <v>30000</v>
      </c>
      <c r="K469" s="159">
        <v>30000</v>
      </c>
      <c r="L469" s="159">
        <v>30000</v>
      </c>
    </row>
    <row r="470" spans="1:12">
      <c r="A470" s="9" t="s">
        <v>100</v>
      </c>
      <c r="B470" s="3" t="s">
        <v>403</v>
      </c>
      <c r="C470" s="3" t="s">
        <v>13</v>
      </c>
      <c r="D470" s="3" t="s">
        <v>29</v>
      </c>
      <c r="E470" s="1" t="s">
        <v>194</v>
      </c>
      <c r="F470" s="1" t="s">
        <v>70</v>
      </c>
      <c r="G470" s="1" t="s">
        <v>148</v>
      </c>
      <c r="H470" s="3" t="s">
        <v>195</v>
      </c>
      <c r="I470" s="16" t="s">
        <v>99</v>
      </c>
      <c r="J470" s="87">
        <f t="shared" si="185"/>
        <v>20000</v>
      </c>
      <c r="K470" s="159">
        <f t="shared" si="185"/>
        <v>20000</v>
      </c>
      <c r="L470" s="159">
        <f t="shared" si="185"/>
        <v>20000</v>
      </c>
    </row>
    <row r="471" spans="1:12">
      <c r="A471" s="86" t="s">
        <v>117</v>
      </c>
      <c r="B471" s="3" t="s">
        <v>403</v>
      </c>
      <c r="C471" s="3" t="s">
        <v>13</v>
      </c>
      <c r="D471" s="3" t="s">
        <v>29</v>
      </c>
      <c r="E471" s="1" t="s">
        <v>194</v>
      </c>
      <c r="F471" s="1" t="s">
        <v>70</v>
      </c>
      <c r="G471" s="1" t="s">
        <v>148</v>
      </c>
      <c r="H471" s="3" t="s">
        <v>195</v>
      </c>
      <c r="I471" s="16" t="s">
        <v>116</v>
      </c>
      <c r="J471" s="87">
        <v>20000</v>
      </c>
      <c r="K471" s="159">
        <v>20000</v>
      </c>
      <c r="L471" s="159">
        <v>20000</v>
      </c>
    </row>
    <row r="472" spans="1:12">
      <c r="A472" s="86"/>
      <c r="B472" s="3"/>
      <c r="C472" s="3"/>
      <c r="D472" s="3"/>
      <c r="E472" s="1"/>
      <c r="F472" s="1"/>
      <c r="G472" s="1"/>
      <c r="H472" s="3"/>
      <c r="I472" s="16"/>
      <c r="J472" s="87"/>
      <c r="K472" s="159"/>
      <c r="L472" s="159"/>
    </row>
    <row r="473" spans="1:12" ht="15.75">
      <c r="A473" s="26" t="s">
        <v>15</v>
      </c>
      <c r="B473" s="29" t="s">
        <v>403</v>
      </c>
      <c r="C473" s="29" t="s">
        <v>16</v>
      </c>
      <c r="D473" s="3"/>
      <c r="E473" s="3"/>
      <c r="F473" s="3"/>
      <c r="G473" s="3"/>
      <c r="H473" s="3"/>
      <c r="I473" s="16"/>
      <c r="J473" s="115">
        <f>J474+J487+J504+J526</f>
        <v>60960989</v>
      </c>
      <c r="K473" s="115">
        <f>K474+K487+K504+K526</f>
        <v>32565565.830000002</v>
      </c>
      <c r="L473" s="115">
        <f>L474+L487+L504+L526</f>
        <v>33887643.159999996</v>
      </c>
    </row>
    <row r="474" spans="1:12">
      <c r="A474" s="4" t="s">
        <v>36</v>
      </c>
      <c r="B474" s="14" t="s">
        <v>403</v>
      </c>
      <c r="C474" s="14" t="s">
        <v>16</v>
      </c>
      <c r="D474" s="14" t="s">
        <v>18</v>
      </c>
      <c r="E474" s="14"/>
      <c r="F474" s="14"/>
      <c r="G474" s="14"/>
      <c r="H474" s="1"/>
      <c r="I474" s="13"/>
      <c r="J474" s="116">
        <f>J475+J482</f>
        <v>575200</v>
      </c>
      <c r="K474" s="116">
        <f t="shared" ref="K474:L474" si="188">K475+K482</f>
        <v>580479.06999999995</v>
      </c>
      <c r="L474" s="116">
        <f t="shared" si="188"/>
        <v>1035783.86</v>
      </c>
    </row>
    <row r="475" spans="1:12" ht="38.25">
      <c r="A475" s="149" t="s">
        <v>288</v>
      </c>
      <c r="B475" s="148" t="s">
        <v>403</v>
      </c>
      <c r="C475" s="148" t="s">
        <v>16</v>
      </c>
      <c r="D475" s="148" t="s">
        <v>18</v>
      </c>
      <c r="E475" s="148" t="s">
        <v>13</v>
      </c>
      <c r="F475" s="148" t="s">
        <v>70</v>
      </c>
      <c r="G475" s="148" t="s">
        <v>148</v>
      </c>
      <c r="H475" s="148" t="s">
        <v>149</v>
      </c>
      <c r="I475" s="146"/>
      <c r="J475" s="117">
        <f>J476+J479</f>
        <v>50000</v>
      </c>
      <c r="K475" s="161">
        <f t="shared" ref="K475:L475" si="189">K476+K479</f>
        <v>50000</v>
      </c>
      <c r="L475" s="161">
        <f t="shared" si="189"/>
        <v>500000</v>
      </c>
    </row>
    <row r="476" spans="1:12">
      <c r="A476" s="2" t="s">
        <v>344</v>
      </c>
      <c r="B476" s="1" t="s">
        <v>403</v>
      </c>
      <c r="C476" s="1" t="s">
        <v>16</v>
      </c>
      <c r="D476" s="1" t="s">
        <v>18</v>
      </c>
      <c r="E476" s="148" t="s">
        <v>13</v>
      </c>
      <c r="F476" s="1" t="s">
        <v>70</v>
      </c>
      <c r="G476" s="1" t="s">
        <v>148</v>
      </c>
      <c r="H476" s="18" t="s">
        <v>178</v>
      </c>
      <c r="I476" s="13"/>
      <c r="J476" s="87">
        <f>J477</f>
        <v>50000</v>
      </c>
      <c r="K476" s="159">
        <f t="shared" ref="K476:L477" si="190">K477</f>
        <v>50000</v>
      </c>
      <c r="L476" s="159">
        <f t="shared" si="190"/>
        <v>50000</v>
      </c>
    </row>
    <row r="477" spans="1:12" ht="25.5">
      <c r="A477" s="157" t="s">
        <v>260</v>
      </c>
      <c r="B477" s="1" t="s">
        <v>403</v>
      </c>
      <c r="C477" s="1" t="s">
        <v>16</v>
      </c>
      <c r="D477" s="1" t="s">
        <v>18</v>
      </c>
      <c r="E477" s="148" t="s">
        <v>13</v>
      </c>
      <c r="F477" s="1" t="s">
        <v>70</v>
      </c>
      <c r="G477" s="1" t="s">
        <v>148</v>
      </c>
      <c r="H477" s="18" t="s">
        <v>178</v>
      </c>
      <c r="I477" s="13" t="s">
        <v>94</v>
      </c>
      <c r="J477" s="87">
        <f>J478</f>
        <v>50000</v>
      </c>
      <c r="K477" s="159">
        <f t="shared" si="190"/>
        <v>50000</v>
      </c>
      <c r="L477" s="159">
        <f t="shared" si="190"/>
        <v>50000</v>
      </c>
    </row>
    <row r="478" spans="1:12" s="147" customFormat="1" ht="25.5">
      <c r="A478" s="81" t="s">
        <v>98</v>
      </c>
      <c r="B478" s="1" t="s">
        <v>403</v>
      </c>
      <c r="C478" s="1" t="s">
        <v>16</v>
      </c>
      <c r="D478" s="1" t="s">
        <v>18</v>
      </c>
      <c r="E478" s="148" t="s">
        <v>13</v>
      </c>
      <c r="F478" s="1" t="s">
        <v>70</v>
      </c>
      <c r="G478" s="1" t="s">
        <v>148</v>
      </c>
      <c r="H478" s="18" t="s">
        <v>178</v>
      </c>
      <c r="I478" s="13" t="s">
        <v>95</v>
      </c>
      <c r="J478" s="87">
        <v>50000</v>
      </c>
      <c r="K478" s="159">
        <v>50000</v>
      </c>
      <c r="L478" s="159">
        <v>50000</v>
      </c>
    </row>
    <row r="479" spans="1:12" s="147" customFormat="1" ht="25.5">
      <c r="A479" s="156" t="s">
        <v>388</v>
      </c>
      <c r="B479" s="148" t="s">
        <v>403</v>
      </c>
      <c r="C479" s="148" t="s">
        <v>16</v>
      </c>
      <c r="D479" s="148" t="s">
        <v>18</v>
      </c>
      <c r="E479" s="148" t="s">
        <v>13</v>
      </c>
      <c r="F479" s="148" t="s">
        <v>70</v>
      </c>
      <c r="G479" s="148" t="s">
        <v>148</v>
      </c>
      <c r="H479" s="154" t="s">
        <v>387</v>
      </c>
      <c r="I479" s="146"/>
      <c r="J479" s="159">
        <f>J480</f>
        <v>0</v>
      </c>
      <c r="K479" s="159">
        <f t="shared" ref="K479:L480" si="191">K480</f>
        <v>0</v>
      </c>
      <c r="L479" s="159">
        <f t="shared" si="191"/>
        <v>450000</v>
      </c>
    </row>
    <row r="480" spans="1:12" s="147" customFormat="1" ht="25.5">
      <c r="A480" s="157" t="s">
        <v>260</v>
      </c>
      <c r="B480" s="148" t="s">
        <v>403</v>
      </c>
      <c r="C480" s="148" t="s">
        <v>16</v>
      </c>
      <c r="D480" s="148" t="s">
        <v>18</v>
      </c>
      <c r="E480" s="148" t="s">
        <v>13</v>
      </c>
      <c r="F480" s="148" t="s">
        <v>70</v>
      </c>
      <c r="G480" s="148" t="s">
        <v>148</v>
      </c>
      <c r="H480" s="154" t="s">
        <v>387</v>
      </c>
      <c r="I480" s="146" t="s">
        <v>94</v>
      </c>
      <c r="J480" s="159">
        <f>J481</f>
        <v>0</v>
      </c>
      <c r="K480" s="159">
        <f t="shared" si="191"/>
        <v>0</v>
      </c>
      <c r="L480" s="159">
        <f t="shared" si="191"/>
        <v>450000</v>
      </c>
    </row>
    <row r="481" spans="1:12" s="147" customFormat="1" ht="25.5">
      <c r="A481" s="156" t="s">
        <v>98</v>
      </c>
      <c r="B481" s="148" t="s">
        <v>403</v>
      </c>
      <c r="C481" s="148" t="s">
        <v>16</v>
      </c>
      <c r="D481" s="148" t="s">
        <v>18</v>
      </c>
      <c r="E481" s="148" t="s">
        <v>13</v>
      </c>
      <c r="F481" s="148" t="s">
        <v>70</v>
      </c>
      <c r="G481" s="148" t="s">
        <v>148</v>
      </c>
      <c r="H481" s="154" t="s">
        <v>387</v>
      </c>
      <c r="I481" s="146" t="s">
        <v>95</v>
      </c>
      <c r="J481" s="159"/>
      <c r="K481" s="159"/>
      <c r="L481" s="159">
        <v>450000</v>
      </c>
    </row>
    <row r="482" spans="1:12" s="147" customFormat="1">
      <c r="A482" s="149" t="s">
        <v>83</v>
      </c>
      <c r="B482" s="148" t="s">
        <v>403</v>
      </c>
      <c r="C482" s="148" t="s">
        <v>16</v>
      </c>
      <c r="D482" s="148" t="s">
        <v>18</v>
      </c>
      <c r="E482" s="148" t="s">
        <v>82</v>
      </c>
      <c r="F482" s="148" t="s">
        <v>70</v>
      </c>
      <c r="G482" s="148" t="s">
        <v>148</v>
      </c>
      <c r="H482" s="154" t="s">
        <v>149</v>
      </c>
      <c r="I482" s="146"/>
      <c r="J482" s="159">
        <f>J483</f>
        <v>525200</v>
      </c>
      <c r="K482" s="159">
        <f t="shared" ref="K482:L484" si="192">K483</f>
        <v>530479.06999999995</v>
      </c>
      <c r="L482" s="159">
        <f t="shared" si="192"/>
        <v>535783.86</v>
      </c>
    </row>
    <row r="483" spans="1:12" s="147" customFormat="1">
      <c r="A483" s="149" t="s">
        <v>346</v>
      </c>
      <c r="B483" s="148" t="s">
        <v>403</v>
      </c>
      <c r="C483" s="148" t="s">
        <v>16</v>
      </c>
      <c r="D483" s="148" t="s">
        <v>18</v>
      </c>
      <c r="E483" s="148" t="s">
        <v>82</v>
      </c>
      <c r="F483" s="148" t="s">
        <v>70</v>
      </c>
      <c r="G483" s="148" t="s">
        <v>148</v>
      </c>
      <c r="H483" s="154" t="s">
        <v>345</v>
      </c>
      <c r="I483" s="146"/>
      <c r="J483" s="159">
        <f>J484</f>
        <v>525200</v>
      </c>
      <c r="K483" s="159">
        <f t="shared" si="192"/>
        <v>530479.06999999995</v>
      </c>
      <c r="L483" s="159">
        <f t="shared" si="192"/>
        <v>535783.86</v>
      </c>
    </row>
    <row r="484" spans="1:12" s="147" customFormat="1" ht="25.5">
      <c r="A484" s="150" t="s">
        <v>72</v>
      </c>
      <c r="B484" s="148" t="s">
        <v>403</v>
      </c>
      <c r="C484" s="148" t="s">
        <v>16</v>
      </c>
      <c r="D484" s="148" t="s">
        <v>18</v>
      </c>
      <c r="E484" s="148" t="s">
        <v>82</v>
      </c>
      <c r="F484" s="148" t="s">
        <v>70</v>
      </c>
      <c r="G484" s="148" t="s">
        <v>148</v>
      </c>
      <c r="H484" s="154" t="s">
        <v>345</v>
      </c>
      <c r="I484" s="146" t="s">
        <v>71</v>
      </c>
      <c r="J484" s="159">
        <f>J485</f>
        <v>525200</v>
      </c>
      <c r="K484" s="159">
        <f t="shared" si="192"/>
        <v>530479.06999999995</v>
      </c>
      <c r="L484" s="159">
        <f t="shared" si="192"/>
        <v>535783.86</v>
      </c>
    </row>
    <row r="485" spans="1:12" s="147" customFormat="1">
      <c r="A485" s="149" t="s">
        <v>249</v>
      </c>
      <c r="B485" s="148" t="s">
        <v>403</v>
      </c>
      <c r="C485" s="148" t="s">
        <v>16</v>
      </c>
      <c r="D485" s="148" t="s">
        <v>18</v>
      </c>
      <c r="E485" s="148" t="s">
        <v>82</v>
      </c>
      <c r="F485" s="148" t="s">
        <v>70</v>
      </c>
      <c r="G485" s="148" t="s">
        <v>148</v>
      </c>
      <c r="H485" s="154" t="s">
        <v>345</v>
      </c>
      <c r="I485" s="146" t="s">
        <v>246</v>
      </c>
      <c r="J485" s="159">
        <v>525200</v>
      </c>
      <c r="K485" s="159">
        <v>530479.06999999995</v>
      </c>
      <c r="L485" s="159">
        <v>535783.86</v>
      </c>
    </row>
    <row r="486" spans="1:12" s="147" customFormat="1">
      <c r="A486" s="149"/>
      <c r="B486" s="148"/>
      <c r="C486" s="148"/>
      <c r="D486" s="148"/>
      <c r="E486" s="148"/>
      <c r="F486" s="148"/>
      <c r="G486" s="148"/>
      <c r="H486" s="154"/>
      <c r="I486" s="146"/>
      <c r="J486" s="159"/>
      <c r="K486" s="159"/>
      <c r="L486" s="159"/>
    </row>
    <row r="487" spans="1:12">
      <c r="A487" s="4" t="s">
        <v>23</v>
      </c>
      <c r="B487" s="15" t="s">
        <v>403</v>
      </c>
      <c r="C487" s="15" t="s">
        <v>16</v>
      </c>
      <c r="D487" s="15" t="s">
        <v>27</v>
      </c>
      <c r="E487" s="15"/>
      <c r="F487" s="15"/>
      <c r="G487" s="15"/>
      <c r="H487" s="139"/>
      <c r="I487" s="28"/>
      <c r="J487" s="116">
        <f>J488</f>
        <v>30941700</v>
      </c>
      <c r="K487" s="116">
        <f t="shared" ref="K487:L487" si="193">K488</f>
        <v>5569055.0700000003</v>
      </c>
      <c r="L487" s="116">
        <f t="shared" si="193"/>
        <v>5595727.6200000001</v>
      </c>
    </row>
    <row r="488" spans="1:12" s="147" customFormat="1" ht="38.25">
      <c r="A488" s="149" t="s">
        <v>396</v>
      </c>
      <c r="B488" s="1" t="s">
        <v>403</v>
      </c>
      <c r="C488" s="1" t="s">
        <v>16</v>
      </c>
      <c r="D488" s="1" t="s">
        <v>27</v>
      </c>
      <c r="E488" s="1" t="s">
        <v>18</v>
      </c>
      <c r="F488" s="1" t="s">
        <v>70</v>
      </c>
      <c r="G488" s="1" t="s">
        <v>148</v>
      </c>
      <c r="H488" s="18" t="s">
        <v>149</v>
      </c>
      <c r="I488" s="13"/>
      <c r="J488" s="87">
        <f>+J489+J500+J492</f>
        <v>30941700</v>
      </c>
      <c r="K488" s="159">
        <f t="shared" ref="K488:L488" si="194">+K489+K500+K492</f>
        <v>5569055.0700000003</v>
      </c>
      <c r="L488" s="159">
        <f t="shared" si="194"/>
        <v>5595727.6200000001</v>
      </c>
    </row>
    <row r="489" spans="1:12" s="147" customFormat="1" ht="38.25">
      <c r="A489" s="96" t="s">
        <v>374</v>
      </c>
      <c r="B489" s="148" t="s">
        <v>403</v>
      </c>
      <c r="C489" s="148" t="s">
        <v>16</v>
      </c>
      <c r="D489" s="148" t="s">
        <v>27</v>
      </c>
      <c r="E489" s="148" t="s">
        <v>18</v>
      </c>
      <c r="F489" s="148" t="s">
        <v>70</v>
      </c>
      <c r="G489" s="148" t="s">
        <v>148</v>
      </c>
      <c r="H489" s="154" t="s">
        <v>267</v>
      </c>
      <c r="I489" s="146"/>
      <c r="J489" s="159">
        <f>J490</f>
        <v>50000</v>
      </c>
      <c r="K489" s="159">
        <f t="shared" ref="K489:L490" si="195">K490</f>
        <v>0</v>
      </c>
      <c r="L489" s="159">
        <f t="shared" si="195"/>
        <v>0</v>
      </c>
    </row>
    <row r="490" spans="1:12" s="147" customFormat="1" ht="25.5">
      <c r="A490" s="131" t="s">
        <v>260</v>
      </c>
      <c r="B490" s="148" t="s">
        <v>403</v>
      </c>
      <c r="C490" s="148" t="s">
        <v>16</v>
      </c>
      <c r="D490" s="148" t="s">
        <v>27</v>
      </c>
      <c r="E490" s="148" t="s">
        <v>18</v>
      </c>
      <c r="F490" s="148" t="s">
        <v>70</v>
      </c>
      <c r="G490" s="148" t="s">
        <v>148</v>
      </c>
      <c r="H490" s="154" t="s">
        <v>267</v>
      </c>
      <c r="I490" s="146" t="s">
        <v>94</v>
      </c>
      <c r="J490" s="159">
        <f>J491</f>
        <v>50000</v>
      </c>
      <c r="K490" s="159">
        <f t="shared" si="195"/>
        <v>0</v>
      </c>
      <c r="L490" s="159">
        <f t="shared" si="195"/>
        <v>0</v>
      </c>
    </row>
    <row r="491" spans="1:12" s="147" customFormat="1" ht="25.5">
      <c r="A491" s="156" t="s">
        <v>98</v>
      </c>
      <c r="B491" s="148" t="s">
        <v>403</v>
      </c>
      <c r="C491" s="148" t="s">
        <v>16</v>
      </c>
      <c r="D491" s="148" t="s">
        <v>27</v>
      </c>
      <c r="E491" s="148" t="s">
        <v>18</v>
      </c>
      <c r="F491" s="148" t="s">
        <v>70</v>
      </c>
      <c r="G491" s="148" t="s">
        <v>148</v>
      </c>
      <c r="H491" s="154" t="s">
        <v>267</v>
      </c>
      <c r="I491" s="146" t="s">
        <v>95</v>
      </c>
      <c r="J491" s="159">
        <v>50000</v>
      </c>
      <c r="K491" s="159"/>
      <c r="L491" s="159"/>
    </row>
    <row r="492" spans="1:12" s="147" customFormat="1" ht="38.25">
      <c r="A492" s="143" t="s">
        <v>375</v>
      </c>
      <c r="B492" s="148" t="s">
        <v>403</v>
      </c>
      <c r="C492" s="148" t="s">
        <v>16</v>
      </c>
      <c r="D492" s="148" t="s">
        <v>27</v>
      </c>
      <c r="E492" s="148" t="s">
        <v>18</v>
      </c>
      <c r="F492" s="148" t="s">
        <v>70</v>
      </c>
      <c r="G492" s="148" t="s">
        <v>148</v>
      </c>
      <c r="H492" s="154" t="s">
        <v>347</v>
      </c>
      <c r="I492" s="146"/>
      <c r="J492" s="159">
        <f>J493+J495+J497</f>
        <v>5542700</v>
      </c>
      <c r="K492" s="159">
        <f t="shared" ref="K492:L492" si="196">K493+K495+K497</f>
        <v>5569055.0700000003</v>
      </c>
      <c r="L492" s="159">
        <f t="shared" si="196"/>
        <v>5595727.6200000001</v>
      </c>
    </row>
    <row r="493" spans="1:12" s="147" customFormat="1" ht="38.25">
      <c r="A493" s="156" t="s">
        <v>96</v>
      </c>
      <c r="B493" s="148" t="s">
        <v>403</v>
      </c>
      <c r="C493" s="148" t="s">
        <v>16</v>
      </c>
      <c r="D493" s="148" t="s">
        <v>27</v>
      </c>
      <c r="E493" s="148" t="s">
        <v>18</v>
      </c>
      <c r="F493" s="148" t="s">
        <v>70</v>
      </c>
      <c r="G493" s="148" t="s">
        <v>148</v>
      </c>
      <c r="H493" s="154" t="s">
        <v>347</v>
      </c>
      <c r="I493" s="146" t="s">
        <v>92</v>
      </c>
      <c r="J493" s="159">
        <f>J494</f>
        <v>2690900</v>
      </c>
      <c r="K493" s="159">
        <f t="shared" ref="K493:L493" si="197">K494</f>
        <v>2717255.07</v>
      </c>
      <c r="L493" s="159">
        <f t="shared" si="197"/>
        <v>2743927.62</v>
      </c>
    </row>
    <row r="494" spans="1:12" s="147" customFormat="1">
      <c r="A494" s="156" t="s">
        <v>97</v>
      </c>
      <c r="B494" s="148" t="s">
        <v>403</v>
      </c>
      <c r="C494" s="148" t="s">
        <v>16</v>
      </c>
      <c r="D494" s="148" t="s">
        <v>27</v>
      </c>
      <c r="E494" s="148" t="s">
        <v>18</v>
      </c>
      <c r="F494" s="148" t="s">
        <v>70</v>
      </c>
      <c r="G494" s="148" t="s">
        <v>148</v>
      </c>
      <c r="H494" s="154" t="s">
        <v>347</v>
      </c>
      <c r="I494" s="146" t="s">
        <v>93</v>
      </c>
      <c r="J494" s="159">
        <f>1817100+328300+545500</f>
        <v>2690900</v>
      </c>
      <c r="K494" s="159">
        <f>1834996.45+331516.54+550742.08</f>
        <v>2717255.07</v>
      </c>
      <c r="L494" s="159">
        <f>1853046.42+334831.71+556049.49</f>
        <v>2743927.62</v>
      </c>
    </row>
    <row r="495" spans="1:12" s="147" customFormat="1" ht="25.5">
      <c r="A495" s="157" t="s">
        <v>260</v>
      </c>
      <c r="B495" s="148" t="s">
        <v>403</v>
      </c>
      <c r="C495" s="148" t="s">
        <v>16</v>
      </c>
      <c r="D495" s="148" t="s">
        <v>27</v>
      </c>
      <c r="E495" s="148" t="s">
        <v>18</v>
      </c>
      <c r="F495" s="148" t="s">
        <v>70</v>
      </c>
      <c r="G495" s="148" t="s">
        <v>148</v>
      </c>
      <c r="H495" s="154" t="s">
        <v>347</v>
      </c>
      <c r="I495" s="146" t="s">
        <v>94</v>
      </c>
      <c r="J495" s="159">
        <f>J496</f>
        <v>2300000</v>
      </c>
      <c r="K495" s="159">
        <f t="shared" ref="K495:L495" si="198">K496</f>
        <v>2300000</v>
      </c>
      <c r="L495" s="159">
        <f t="shared" si="198"/>
        <v>2300000</v>
      </c>
    </row>
    <row r="496" spans="1:12" s="147" customFormat="1" ht="25.5">
      <c r="A496" s="156" t="s">
        <v>98</v>
      </c>
      <c r="B496" s="148" t="s">
        <v>403</v>
      </c>
      <c r="C496" s="148" t="s">
        <v>16</v>
      </c>
      <c r="D496" s="148" t="s">
        <v>27</v>
      </c>
      <c r="E496" s="148" t="s">
        <v>18</v>
      </c>
      <c r="F496" s="148" t="s">
        <v>70</v>
      </c>
      <c r="G496" s="148" t="s">
        <v>148</v>
      </c>
      <c r="H496" s="154" t="s">
        <v>347</v>
      </c>
      <c r="I496" s="146" t="s">
        <v>95</v>
      </c>
      <c r="J496" s="159">
        <f>1580000+270000+450000</f>
        <v>2300000</v>
      </c>
      <c r="K496" s="159">
        <f>1580000+270000+450000</f>
        <v>2300000</v>
      </c>
      <c r="L496" s="159">
        <f>1580000+270000+450000</f>
        <v>2300000</v>
      </c>
    </row>
    <row r="497" spans="1:12" s="147" customFormat="1">
      <c r="A497" s="156" t="s">
        <v>80</v>
      </c>
      <c r="B497" s="148" t="s">
        <v>403</v>
      </c>
      <c r="C497" s="148" t="s">
        <v>16</v>
      </c>
      <c r="D497" s="148" t="s">
        <v>27</v>
      </c>
      <c r="E497" s="148" t="s">
        <v>18</v>
      </c>
      <c r="F497" s="148" t="s">
        <v>70</v>
      </c>
      <c r="G497" s="148" t="s">
        <v>148</v>
      </c>
      <c r="H497" s="154" t="s">
        <v>347</v>
      </c>
      <c r="I497" s="146" t="s">
        <v>77</v>
      </c>
      <c r="J497" s="159">
        <f>J498+J499</f>
        <v>551800</v>
      </c>
      <c r="K497" s="159">
        <f t="shared" ref="K497:L497" si="199">K498+K499</f>
        <v>551800</v>
      </c>
      <c r="L497" s="159">
        <f t="shared" si="199"/>
        <v>551800</v>
      </c>
    </row>
    <row r="498" spans="1:12" s="147" customFormat="1" ht="25.5">
      <c r="A498" s="131" t="s">
        <v>81</v>
      </c>
      <c r="B498" s="148" t="s">
        <v>403</v>
      </c>
      <c r="C498" s="148" t="s">
        <v>16</v>
      </c>
      <c r="D498" s="148" t="s">
        <v>27</v>
      </c>
      <c r="E498" s="148" t="s">
        <v>18</v>
      </c>
      <c r="F498" s="148" t="s">
        <v>70</v>
      </c>
      <c r="G498" s="148" t="s">
        <v>148</v>
      </c>
      <c r="H498" s="154" t="s">
        <v>347</v>
      </c>
      <c r="I498" s="146" t="s">
        <v>78</v>
      </c>
      <c r="J498" s="159">
        <v>505800</v>
      </c>
      <c r="K498" s="159">
        <v>505800</v>
      </c>
      <c r="L498" s="159">
        <v>505800</v>
      </c>
    </row>
    <row r="499" spans="1:12" s="147" customFormat="1">
      <c r="A499" s="158" t="s">
        <v>125</v>
      </c>
      <c r="B499" s="148" t="s">
        <v>403</v>
      </c>
      <c r="C499" s="148" t="s">
        <v>16</v>
      </c>
      <c r="D499" s="148" t="s">
        <v>27</v>
      </c>
      <c r="E499" s="148" t="s">
        <v>18</v>
      </c>
      <c r="F499" s="148" t="s">
        <v>70</v>
      </c>
      <c r="G499" s="148" t="s">
        <v>148</v>
      </c>
      <c r="H499" s="154" t="s">
        <v>347</v>
      </c>
      <c r="I499" s="146" t="s">
        <v>124</v>
      </c>
      <c r="J499" s="159">
        <v>46000</v>
      </c>
      <c r="K499" s="159">
        <v>46000</v>
      </c>
      <c r="L499" s="159">
        <v>46000</v>
      </c>
    </row>
    <row r="500" spans="1:12" s="147" customFormat="1" ht="25.5">
      <c r="A500" s="150" t="s">
        <v>312</v>
      </c>
      <c r="B500" s="148" t="s">
        <v>403</v>
      </c>
      <c r="C500" s="148" t="s">
        <v>16</v>
      </c>
      <c r="D500" s="148" t="s">
        <v>27</v>
      </c>
      <c r="E500" s="148" t="s">
        <v>18</v>
      </c>
      <c r="F500" s="148" t="s">
        <v>70</v>
      </c>
      <c r="G500" s="148" t="s">
        <v>148</v>
      </c>
      <c r="H500" s="154" t="s">
        <v>311</v>
      </c>
      <c r="I500" s="144"/>
      <c r="J500" s="159">
        <f>J501</f>
        <v>25349000</v>
      </c>
      <c r="K500" s="159">
        <f t="shared" ref="K500:L501" si="200">K501</f>
        <v>0</v>
      </c>
      <c r="L500" s="159">
        <f t="shared" si="200"/>
        <v>0</v>
      </c>
    </row>
    <row r="501" spans="1:12" s="147" customFormat="1" ht="25.5">
      <c r="A501" s="157" t="s">
        <v>260</v>
      </c>
      <c r="B501" s="148" t="s">
        <v>403</v>
      </c>
      <c r="C501" s="148" t="s">
        <v>16</v>
      </c>
      <c r="D501" s="148" t="s">
        <v>27</v>
      </c>
      <c r="E501" s="148" t="s">
        <v>18</v>
      </c>
      <c r="F501" s="148" t="s">
        <v>70</v>
      </c>
      <c r="G501" s="148" t="s">
        <v>148</v>
      </c>
      <c r="H501" s="154" t="s">
        <v>311</v>
      </c>
      <c r="I501" s="144" t="s">
        <v>94</v>
      </c>
      <c r="J501" s="159">
        <f>J502</f>
        <v>25349000</v>
      </c>
      <c r="K501" s="159">
        <f t="shared" si="200"/>
        <v>0</v>
      </c>
      <c r="L501" s="159">
        <f t="shared" si="200"/>
        <v>0</v>
      </c>
    </row>
    <row r="502" spans="1:12" s="147" customFormat="1" ht="25.5">
      <c r="A502" s="156" t="s">
        <v>98</v>
      </c>
      <c r="B502" s="148" t="s">
        <v>403</v>
      </c>
      <c r="C502" s="148" t="s">
        <v>16</v>
      </c>
      <c r="D502" s="148" t="s">
        <v>27</v>
      </c>
      <c r="E502" s="148" t="s">
        <v>18</v>
      </c>
      <c r="F502" s="148" t="s">
        <v>70</v>
      </c>
      <c r="G502" s="148" t="s">
        <v>148</v>
      </c>
      <c r="H502" s="154" t="s">
        <v>311</v>
      </c>
      <c r="I502" s="144" t="s">
        <v>95</v>
      </c>
      <c r="J502" s="159">
        <v>25349000</v>
      </c>
      <c r="K502" s="159"/>
      <c r="L502" s="159"/>
    </row>
    <row r="503" spans="1:12">
      <c r="A503" s="83"/>
      <c r="B503" s="1"/>
      <c r="C503" s="1"/>
      <c r="D503" s="1"/>
      <c r="E503" s="1"/>
      <c r="F503" s="1"/>
      <c r="G503" s="1"/>
      <c r="H503" s="18"/>
      <c r="I503" s="13"/>
      <c r="J503" s="87"/>
      <c r="K503" s="159"/>
      <c r="L503" s="159"/>
    </row>
    <row r="504" spans="1:12" s="147" customFormat="1">
      <c r="A504" s="4" t="s">
        <v>60</v>
      </c>
      <c r="B504" s="14" t="s">
        <v>403</v>
      </c>
      <c r="C504" s="14" t="s">
        <v>16</v>
      </c>
      <c r="D504" s="14" t="s">
        <v>14</v>
      </c>
      <c r="E504" s="14"/>
      <c r="F504" s="14"/>
      <c r="G504" s="14"/>
      <c r="H504" s="1"/>
      <c r="I504" s="13"/>
      <c r="J504" s="116">
        <f>J505+J521+J516</f>
        <v>27679339</v>
      </c>
      <c r="K504" s="116">
        <f>K505+K521+K516</f>
        <v>26191349.690000001</v>
      </c>
      <c r="L504" s="116">
        <f>L505+L521+L516</f>
        <v>27031449.68</v>
      </c>
    </row>
    <row r="505" spans="1:12" s="147" customFormat="1" ht="38.25">
      <c r="A505" s="149" t="s">
        <v>396</v>
      </c>
      <c r="B505" s="148" t="s">
        <v>403</v>
      </c>
      <c r="C505" s="148" t="s">
        <v>16</v>
      </c>
      <c r="D505" s="148" t="s">
        <v>14</v>
      </c>
      <c r="E505" s="148" t="s">
        <v>18</v>
      </c>
      <c r="F505" s="148" t="s">
        <v>70</v>
      </c>
      <c r="G505" s="148" t="s">
        <v>148</v>
      </c>
      <c r="H505" s="154" t="s">
        <v>149</v>
      </c>
      <c r="I505" s="146"/>
      <c r="J505" s="159">
        <f>+J513+J506</f>
        <v>3571250</v>
      </c>
      <c r="K505" s="159">
        <f t="shared" ref="K505:L505" si="201">+K513+K506</f>
        <v>1874149.69</v>
      </c>
      <c r="L505" s="159">
        <f t="shared" si="201"/>
        <v>1883149.6800000002</v>
      </c>
    </row>
    <row r="506" spans="1:12" s="147" customFormat="1" ht="38.25">
      <c r="A506" s="149" t="s">
        <v>349</v>
      </c>
      <c r="B506" s="148" t="s">
        <v>403</v>
      </c>
      <c r="C506" s="148" t="s">
        <v>16</v>
      </c>
      <c r="D506" s="148" t="s">
        <v>14</v>
      </c>
      <c r="E506" s="148" t="s">
        <v>18</v>
      </c>
      <c r="F506" s="148" t="s">
        <v>70</v>
      </c>
      <c r="G506" s="148" t="s">
        <v>148</v>
      </c>
      <c r="H506" s="154" t="s">
        <v>348</v>
      </c>
      <c r="I506" s="146"/>
      <c r="J506" s="159">
        <f>J507+J509+J511</f>
        <v>1875250</v>
      </c>
      <c r="K506" s="159">
        <f t="shared" ref="K506:L506" si="202">K507+K509+K511</f>
        <v>1874149.69</v>
      </c>
      <c r="L506" s="159">
        <f t="shared" si="202"/>
        <v>1883149.6800000002</v>
      </c>
    </row>
    <row r="507" spans="1:12" s="147" customFormat="1" ht="38.25">
      <c r="A507" s="156" t="s">
        <v>96</v>
      </c>
      <c r="B507" s="148" t="s">
        <v>403</v>
      </c>
      <c r="C507" s="148" t="s">
        <v>16</v>
      </c>
      <c r="D507" s="148" t="s">
        <v>14</v>
      </c>
      <c r="E507" s="148" t="s">
        <v>18</v>
      </c>
      <c r="F507" s="148" t="s">
        <v>70</v>
      </c>
      <c r="G507" s="148" t="s">
        <v>148</v>
      </c>
      <c r="H507" s="154" t="s">
        <v>348</v>
      </c>
      <c r="I507" s="146" t="s">
        <v>92</v>
      </c>
      <c r="J507" s="159">
        <f>J508</f>
        <v>911100</v>
      </c>
      <c r="K507" s="159">
        <f t="shared" ref="K507:L507" si="203">K508</f>
        <v>919999.69</v>
      </c>
      <c r="L507" s="159">
        <f t="shared" si="203"/>
        <v>928999.68</v>
      </c>
    </row>
    <row r="508" spans="1:12" s="147" customFormat="1">
      <c r="A508" s="156" t="s">
        <v>97</v>
      </c>
      <c r="B508" s="148" t="s">
        <v>403</v>
      </c>
      <c r="C508" s="148" t="s">
        <v>16</v>
      </c>
      <c r="D508" s="148" t="s">
        <v>14</v>
      </c>
      <c r="E508" s="148" t="s">
        <v>18</v>
      </c>
      <c r="F508" s="148" t="s">
        <v>70</v>
      </c>
      <c r="G508" s="148" t="s">
        <v>148</v>
      </c>
      <c r="H508" s="154" t="s">
        <v>348</v>
      </c>
      <c r="I508" s="146" t="s">
        <v>93</v>
      </c>
      <c r="J508" s="159">
        <v>911100</v>
      </c>
      <c r="K508" s="159">
        <v>919999.69</v>
      </c>
      <c r="L508" s="159">
        <v>928999.68</v>
      </c>
    </row>
    <row r="509" spans="1:12" s="147" customFormat="1" ht="25.5">
      <c r="A509" s="157" t="s">
        <v>260</v>
      </c>
      <c r="B509" s="148" t="s">
        <v>403</v>
      </c>
      <c r="C509" s="148" t="s">
        <v>16</v>
      </c>
      <c r="D509" s="148" t="s">
        <v>14</v>
      </c>
      <c r="E509" s="148" t="s">
        <v>18</v>
      </c>
      <c r="F509" s="148" t="s">
        <v>70</v>
      </c>
      <c r="G509" s="148" t="s">
        <v>148</v>
      </c>
      <c r="H509" s="154" t="s">
        <v>348</v>
      </c>
      <c r="I509" s="146" t="s">
        <v>94</v>
      </c>
      <c r="J509" s="159">
        <f>J510</f>
        <v>954150</v>
      </c>
      <c r="K509" s="159">
        <f t="shared" ref="K509:L509" si="204">K510</f>
        <v>954150</v>
      </c>
      <c r="L509" s="159">
        <f t="shared" si="204"/>
        <v>954150</v>
      </c>
    </row>
    <row r="510" spans="1:12" s="147" customFormat="1" ht="25.5">
      <c r="A510" s="156" t="s">
        <v>98</v>
      </c>
      <c r="B510" s="148" t="s">
        <v>403</v>
      </c>
      <c r="C510" s="148" t="s">
        <v>16</v>
      </c>
      <c r="D510" s="148" t="s">
        <v>14</v>
      </c>
      <c r="E510" s="148" t="s">
        <v>18</v>
      </c>
      <c r="F510" s="148" t="s">
        <v>70</v>
      </c>
      <c r="G510" s="148" t="s">
        <v>148</v>
      </c>
      <c r="H510" s="154" t="s">
        <v>348</v>
      </c>
      <c r="I510" s="146" t="s">
        <v>95</v>
      </c>
      <c r="J510" s="159">
        <v>954150</v>
      </c>
      <c r="K510" s="159">
        <v>954150</v>
      </c>
      <c r="L510" s="159">
        <v>954150</v>
      </c>
    </row>
    <row r="511" spans="1:12" s="147" customFormat="1">
      <c r="A511" s="156" t="s">
        <v>80</v>
      </c>
      <c r="B511" s="148" t="s">
        <v>403</v>
      </c>
      <c r="C511" s="148" t="s">
        <v>16</v>
      </c>
      <c r="D511" s="148" t="s">
        <v>14</v>
      </c>
      <c r="E511" s="148" t="s">
        <v>18</v>
      </c>
      <c r="F511" s="148" t="s">
        <v>70</v>
      </c>
      <c r="G511" s="148" t="s">
        <v>148</v>
      </c>
      <c r="H511" s="154" t="s">
        <v>348</v>
      </c>
      <c r="I511" s="146" t="s">
        <v>77</v>
      </c>
      <c r="J511" s="159">
        <f>J512</f>
        <v>10000</v>
      </c>
      <c r="K511" s="159">
        <f t="shared" ref="K511:L511" si="205">K512</f>
        <v>0</v>
      </c>
      <c r="L511" s="159">
        <f t="shared" si="205"/>
        <v>0</v>
      </c>
    </row>
    <row r="512" spans="1:12" s="147" customFormat="1">
      <c r="A512" s="158" t="s">
        <v>125</v>
      </c>
      <c r="B512" s="148" t="s">
        <v>403</v>
      </c>
      <c r="C512" s="148" t="s">
        <v>16</v>
      </c>
      <c r="D512" s="148" t="s">
        <v>14</v>
      </c>
      <c r="E512" s="148" t="s">
        <v>18</v>
      </c>
      <c r="F512" s="148" t="s">
        <v>70</v>
      </c>
      <c r="G512" s="148" t="s">
        <v>148</v>
      </c>
      <c r="H512" s="154" t="s">
        <v>348</v>
      </c>
      <c r="I512" s="146" t="s">
        <v>124</v>
      </c>
      <c r="J512" s="159">
        <v>10000</v>
      </c>
      <c r="K512" s="159"/>
      <c r="L512" s="159"/>
    </row>
    <row r="513" spans="1:12" s="147" customFormat="1" ht="25.5">
      <c r="A513" s="150" t="s">
        <v>312</v>
      </c>
      <c r="B513" s="148" t="s">
        <v>403</v>
      </c>
      <c r="C513" s="148" t="s">
        <v>16</v>
      </c>
      <c r="D513" s="148" t="s">
        <v>14</v>
      </c>
      <c r="E513" s="148" t="s">
        <v>18</v>
      </c>
      <c r="F513" s="148" t="s">
        <v>70</v>
      </c>
      <c r="G513" s="148" t="s">
        <v>148</v>
      </c>
      <c r="H513" s="154" t="s">
        <v>311</v>
      </c>
      <c r="I513" s="146"/>
      <c r="J513" s="159">
        <f>J514</f>
        <v>1696000</v>
      </c>
      <c r="K513" s="159">
        <f t="shared" ref="K513:L514" si="206">K514</f>
        <v>0</v>
      </c>
      <c r="L513" s="159">
        <f t="shared" si="206"/>
        <v>0</v>
      </c>
    </row>
    <row r="514" spans="1:12" s="147" customFormat="1" ht="25.5">
      <c r="A514" s="157" t="s">
        <v>260</v>
      </c>
      <c r="B514" s="148" t="s">
        <v>403</v>
      </c>
      <c r="C514" s="148" t="s">
        <v>16</v>
      </c>
      <c r="D514" s="148" t="s">
        <v>14</v>
      </c>
      <c r="E514" s="148" t="s">
        <v>18</v>
      </c>
      <c r="F514" s="148" t="s">
        <v>70</v>
      </c>
      <c r="G514" s="148" t="s">
        <v>148</v>
      </c>
      <c r="H514" s="154" t="s">
        <v>311</v>
      </c>
      <c r="I514" s="146" t="s">
        <v>94</v>
      </c>
      <c r="J514" s="159">
        <f>J515</f>
        <v>1696000</v>
      </c>
      <c r="K514" s="159">
        <f t="shared" si="206"/>
        <v>0</v>
      </c>
      <c r="L514" s="159">
        <f t="shared" si="206"/>
        <v>0</v>
      </c>
    </row>
    <row r="515" spans="1:12" s="147" customFormat="1" ht="25.5">
      <c r="A515" s="156" t="s">
        <v>98</v>
      </c>
      <c r="B515" s="148" t="s">
        <v>403</v>
      </c>
      <c r="C515" s="148" t="s">
        <v>16</v>
      </c>
      <c r="D515" s="148" t="s">
        <v>14</v>
      </c>
      <c r="E515" s="148" t="s">
        <v>18</v>
      </c>
      <c r="F515" s="148" t="s">
        <v>70</v>
      </c>
      <c r="G515" s="148" t="s">
        <v>148</v>
      </c>
      <c r="H515" s="154" t="s">
        <v>311</v>
      </c>
      <c r="I515" s="146" t="s">
        <v>95</v>
      </c>
      <c r="J515" s="159">
        <v>1696000</v>
      </c>
      <c r="K515" s="159"/>
      <c r="L515" s="159"/>
    </row>
    <row r="516" spans="1:12" s="147" customFormat="1" ht="38.25">
      <c r="A516" s="149" t="s">
        <v>289</v>
      </c>
      <c r="B516" s="148" t="s">
        <v>403</v>
      </c>
      <c r="C516" s="148" t="s">
        <v>16</v>
      </c>
      <c r="D516" s="148" t="s">
        <v>14</v>
      </c>
      <c r="E516" s="148" t="s">
        <v>27</v>
      </c>
      <c r="F516" s="148" t="s">
        <v>70</v>
      </c>
      <c r="G516" s="148" t="s">
        <v>148</v>
      </c>
      <c r="H516" s="148" t="s">
        <v>149</v>
      </c>
      <c r="I516" s="146"/>
      <c r="J516" s="159">
        <f>J517</f>
        <v>1000000</v>
      </c>
      <c r="K516" s="159">
        <f t="shared" ref="K516:L519" si="207">K517</f>
        <v>0</v>
      </c>
      <c r="L516" s="159">
        <f t="shared" si="207"/>
        <v>0</v>
      </c>
    </row>
    <row r="517" spans="1:12" s="147" customFormat="1">
      <c r="A517" s="150" t="s">
        <v>216</v>
      </c>
      <c r="B517" s="148" t="s">
        <v>403</v>
      </c>
      <c r="C517" s="148" t="s">
        <v>16</v>
      </c>
      <c r="D517" s="148" t="s">
        <v>14</v>
      </c>
      <c r="E517" s="148" t="s">
        <v>27</v>
      </c>
      <c r="F517" s="148" t="s">
        <v>113</v>
      </c>
      <c r="G517" s="148" t="s">
        <v>148</v>
      </c>
      <c r="H517" s="148" t="s">
        <v>149</v>
      </c>
      <c r="I517" s="146"/>
      <c r="J517" s="159">
        <f>J518</f>
        <v>1000000</v>
      </c>
      <c r="K517" s="159">
        <f t="shared" si="207"/>
        <v>0</v>
      </c>
      <c r="L517" s="159">
        <f t="shared" si="207"/>
        <v>0</v>
      </c>
    </row>
    <row r="518" spans="1:12" s="147" customFormat="1" ht="25.5">
      <c r="A518" s="150" t="s">
        <v>270</v>
      </c>
      <c r="B518" s="148" t="s">
        <v>403</v>
      </c>
      <c r="C518" s="148" t="s">
        <v>16</v>
      </c>
      <c r="D518" s="148" t="s">
        <v>14</v>
      </c>
      <c r="E518" s="148" t="s">
        <v>27</v>
      </c>
      <c r="F518" s="148" t="s">
        <v>113</v>
      </c>
      <c r="G518" s="148" t="s">
        <v>148</v>
      </c>
      <c r="H518" s="148" t="s">
        <v>269</v>
      </c>
      <c r="I518" s="146"/>
      <c r="J518" s="159">
        <f>J519</f>
        <v>1000000</v>
      </c>
      <c r="K518" s="159">
        <f t="shared" si="207"/>
        <v>0</v>
      </c>
      <c r="L518" s="159">
        <f t="shared" si="207"/>
        <v>0</v>
      </c>
    </row>
    <row r="519" spans="1:12" s="147" customFormat="1" ht="25.5">
      <c r="A519" s="150" t="s">
        <v>120</v>
      </c>
      <c r="B519" s="148" t="s">
        <v>403</v>
      </c>
      <c r="C519" s="148" t="s">
        <v>16</v>
      </c>
      <c r="D519" s="148" t="s">
        <v>14</v>
      </c>
      <c r="E519" s="148" t="s">
        <v>27</v>
      </c>
      <c r="F519" s="148" t="s">
        <v>113</v>
      </c>
      <c r="G519" s="148" t="s">
        <v>148</v>
      </c>
      <c r="H519" s="148" t="s">
        <v>269</v>
      </c>
      <c r="I519" s="146" t="s">
        <v>118</v>
      </c>
      <c r="J519" s="159">
        <f>J520</f>
        <v>1000000</v>
      </c>
      <c r="K519" s="159">
        <f t="shared" si="207"/>
        <v>0</v>
      </c>
      <c r="L519" s="159">
        <f t="shared" si="207"/>
        <v>0</v>
      </c>
    </row>
    <row r="520" spans="1:12">
      <c r="A520" s="150" t="s">
        <v>121</v>
      </c>
      <c r="B520" s="148" t="s">
        <v>403</v>
      </c>
      <c r="C520" s="148" t="s">
        <v>16</v>
      </c>
      <c r="D520" s="148" t="s">
        <v>14</v>
      </c>
      <c r="E520" s="148" t="s">
        <v>27</v>
      </c>
      <c r="F520" s="148" t="s">
        <v>113</v>
      </c>
      <c r="G520" s="148" t="s">
        <v>148</v>
      </c>
      <c r="H520" s="148" t="s">
        <v>269</v>
      </c>
      <c r="I520" s="146" t="s">
        <v>119</v>
      </c>
      <c r="J520" s="159">
        <v>1000000</v>
      </c>
      <c r="K520" s="159"/>
      <c r="L520" s="159"/>
    </row>
    <row r="521" spans="1:12">
      <c r="A521" s="2" t="s">
        <v>84</v>
      </c>
      <c r="B521" s="1" t="s">
        <v>403</v>
      </c>
      <c r="C521" s="1" t="s">
        <v>16</v>
      </c>
      <c r="D521" s="1" t="s">
        <v>14</v>
      </c>
      <c r="E521" s="1" t="s">
        <v>82</v>
      </c>
      <c r="F521" s="1" t="s">
        <v>70</v>
      </c>
      <c r="G521" s="1" t="s">
        <v>148</v>
      </c>
      <c r="H521" s="1" t="s">
        <v>149</v>
      </c>
      <c r="I521" s="13"/>
      <c r="J521" s="87">
        <f>+J522</f>
        <v>23108089</v>
      </c>
      <c r="K521" s="159">
        <f t="shared" ref="K521:L521" si="208">+K522</f>
        <v>24317200</v>
      </c>
      <c r="L521" s="159">
        <f t="shared" si="208"/>
        <v>25148300</v>
      </c>
    </row>
    <row r="522" spans="1:12" ht="38.25">
      <c r="A522" s="2" t="s">
        <v>350</v>
      </c>
      <c r="B522" s="1" t="s">
        <v>403</v>
      </c>
      <c r="C522" s="1" t="s">
        <v>16</v>
      </c>
      <c r="D522" s="1" t="s">
        <v>14</v>
      </c>
      <c r="E522" s="1" t="s">
        <v>82</v>
      </c>
      <c r="F522" s="1" t="s">
        <v>70</v>
      </c>
      <c r="G522" s="1" t="s">
        <v>148</v>
      </c>
      <c r="H522" s="1" t="s">
        <v>179</v>
      </c>
      <c r="I522" s="13"/>
      <c r="J522" s="87">
        <f>+J523</f>
        <v>23108089</v>
      </c>
      <c r="K522" s="159">
        <f t="shared" ref="K522:L522" si="209">+K523</f>
        <v>24317200</v>
      </c>
      <c r="L522" s="159">
        <f t="shared" si="209"/>
        <v>25148300</v>
      </c>
    </row>
    <row r="523" spans="1:12" ht="25.5">
      <c r="A523" s="157" t="s">
        <v>260</v>
      </c>
      <c r="B523" s="1" t="s">
        <v>403</v>
      </c>
      <c r="C523" s="1" t="s">
        <v>16</v>
      </c>
      <c r="D523" s="1" t="s">
        <v>14</v>
      </c>
      <c r="E523" s="1" t="s">
        <v>82</v>
      </c>
      <c r="F523" s="1" t="s">
        <v>70</v>
      </c>
      <c r="G523" s="1" t="s">
        <v>148</v>
      </c>
      <c r="H523" s="1" t="s">
        <v>179</v>
      </c>
      <c r="I523" s="13" t="s">
        <v>94</v>
      </c>
      <c r="J523" s="87">
        <f>J524</f>
        <v>23108089</v>
      </c>
      <c r="K523" s="159">
        <f t="shared" ref="K523:L523" si="210">K524</f>
        <v>24317200</v>
      </c>
      <c r="L523" s="159">
        <f t="shared" si="210"/>
        <v>25148300</v>
      </c>
    </row>
    <row r="524" spans="1:12" s="147" customFormat="1" ht="25.5">
      <c r="A524" s="81" t="s">
        <v>98</v>
      </c>
      <c r="B524" s="1" t="s">
        <v>403</v>
      </c>
      <c r="C524" s="1" t="s">
        <v>16</v>
      </c>
      <c r="D524" s="1" t="s">
        <v>14</v>
      </c>
      <c r="E524" s="1" t="s">
        <v>82</v>
      </c>
      <c r="F524" s="1" t="s">
        <v>70</v>
      </c>
      <c r="G524" s="1" t="s">
        <v>148</v>
      </c>
      <c r="H524" s="1" t="s">
        <v>179</v>
      </c>
      <c r="I524" s="13" t="s">
        <v>95</v>
      </c>
      <c r="J524" s="87">
        <v>23108089</v>
      </c>
      <c r="K524" s="159">
        <v>24317200</v>
      </c>
      <c r="L524" s="159">
        <v>25148300</v>
      </c>
    </row>
    <row r="525" spans="1:12">
      <c r="A525" s="2"/>
      <c r="B525" s="1"/>
      <c r="C525" s="1"/>
      <c r="D525" s="1"/>
      <c r="E525" s="1"/>
      <c r="F525" s="1"/>
      <c r="G525" s="1"/>
      <c r="H525" s="1"/>
      <c r="I525" s="13"/>
      <c r="J525" s="87"/>
      <c r="K525" s="159"/>
      <c r="L525" s="159"/>
    </row>
    <row r="526" spans="1:12">
      <c r="A526" s="4" t="s">
        <v>37</v>
      </c>
      <c r="B526" s="15" t="s">
        <v>403</v>
      </c>
      <c r="C526" s="15" t="s">
        <v>16</v>
      </c>
      <c r="D526" s="15" t="s">
        <v>31</v>
      </c>
      <c r="E526" s="15"/>
      <c r="F526" s="15"/>
      <c r="G526" s="15"/>
      <c r="H526" s="1"/>
      <c r="I526" s="13"/>
      <c r="J526" s="116">
        <f>J527+J537</f>
        <v>1764750</v>
      </c>
      <c r="K526" s="116">
        <f t="shared" ref="K526:L526" si="211">K527+K537</f>
        <v>224682</v>
      </c>
      <c r="L526" s="116">
        <f t="shared" si="211"/>
        <v>224682</v>
      </c>
    </row>
    <row r="527" spans="1:12" ht="38.25">
      <c r="A527" s="149" t="s">
        <v>288</v>
      </c>
      <c r="B527" s="1" t="s">
        <v>403</v>
      </c>
      <c r="C527" s="1" t="s">
        <v>16</v>
      </c>
      <c r="D527" s="1" t="s">
        <v>31</v>
      </c>
      <c r="E527" s="1" t="s">
        <v>13</v>
      </c>
      <c r="F527" s="1" t="s">
        <v>70</v>
      </c>
      <c r="G527" s="1" t="s">
        <v>148</v>
      </c>
      <c r="H527" s="1" t="s">
        <v>149</v>
      </c>
      <c r="I527" s="13"/>
      <c r="J527" s="87">
        <f>J528+J531+J534</f>
        <v>264750</v>
      </c>
      <c r="K527" s="159">
        <f t="shared" ref="K527:L527" si="212">K528+K531+K534</f>
        <v>224682</v>
      </c>
      <c r="L527" s="159">
        <f t="shared" si="212"/>
        <v>224682</v>
      </c>
    </row>
    <row r="528" spans="1:12" ht="25.5">
      <c r="A528" s="152" t="s">
        <v>351</v>
      </c>
      <c r="B528" s="1" t="s">
        <v>403</v>
      </c>
      <c r="C528" s="1" t="s">
        <v>16</v>
      </c>
      <c r="D528" s="1" t="s">
        <v>31</v>
      </c>
      <c r="E528" s="148" t="s">
        <v>13</v>
      </c>
      <c r="F528" s="1" t="s">
        <v>70</v>
      </c>
      <c r="G528" s="1" t="s">
        <v>148</v>
      </c>
      <c r="H528" s="1" t="s">
        <v>186</v>
      </c>
      <c r="I528" s="13"/>
      <c r="J528" s="120">
        <f t="shared" ref="J528:L529" si="213">J529</f>
        <v>85000</v>
      </c>
      <c r="K528" s="120">
        <f t="shared" si="213"/>
        <v>85000</v>
      </c>
      <c r="L528" s="120">
        <f t="shared" si="213"/>
        <v>85000</v>
      </c>
    </row>
    <row r="529" spans="1:12">
      <c r="A529" s="2" t="s">
        <v>80</v>
      </c>
      <c r="B529" s="1" t="s">
        <v>403</v>
      </c>
      <c r="C529" s="1" t="s">
        <v>16</v>
      </c>
      <c r="D529" s="1" t="s">
        <v>31</v>
      </c>
      <c r="E529" s="148" t="s">
        <v>13</v>
      </c>
      <c r="F529" s="1" t="s">
        <v>70</v>
      </c>
      <c r="G529" s="1" t="s">
        <v>148</v>
      </c>
      <c r="H529" s="1" t="s">
        <v>186</v>
      </c>
      <c r="I529" s="13" t="s">
        <v>77</v>
      </c>
      <c r="J529" s="120">
        <f t="shared" si="213"/>
        <v>85000</v>
      </c>
      <c r="K529" s="120">
        <f t="shared" si="213"/>
        <v>85000</v>
      </c>
      <c r="L529" s="120">
        <f t="shared" si="213"/>
        <v>85000</v>
      </c>
    </row>
    <row r="530" spans="1:12" ht="28.5" customHeight="1">
      <c r="A530" s="7" t="s">
        <v>81</v>
      </c>
      <c r="B530" s="1" t="s">
        <v>403</v>
      </c>
      <c r="C530" s="1" t="s">
        <v>16</v>
      </c>
      <c r="D530" s="1" t="s">
        <v>31</v>
      </c>
      <c r="E530" s="148" t="s">
        <v>13</v>
      </c>
      <c r="F530" s="1" t="s">
        <v>70</v>
      </c>
      <c r="G530" s="1" t="s">
        <v>148</v>
      </c>
      <c r="H530" s="1" t="s">
        <v>186</v>
      </c>
      <c r="I530" s="13" t="s">
        <v>78</v>
      </c>
      <c r="J530" s="117">
        <v>85000</v>
      </c>
      <c r="K530" s="161">
        <v>85000</v>
      </c>
      <c r="L530" s="161">
        <v>85000</v>
      </c>
    </row>
    <row r="531" spans="1:12" s="147" customFormat="1">
      <c r="A531" s="150" t="s">
        <v>228</v>
      </c>
      <c r="B531" s="148" t="s">
        <v>403</v>
      </c>
      <c r="C531" s="148" t="s">
        <v>16</v>
      </c>
      <c r="D531" s="148" t="s">
        <v>31</v>
      </c>
      <c r="E531" s="148" t="s">
        <v>13</v>
      </c>
      <c r="F531" s="148" t="s">
        <v>70</v>
      </c>
      <c r="G531" s="148" t="s">
        <v>148</v>
      </c>
      <c r="H531" s="148" t="s">
        <v>227</v>
      </c>
      <c r="I531" s="146"/>
      <c r="J531" s="159">
        <f>J532</f>
        <v>50000</v>
      </c>
      <c r="K531" s="159">
        <f t="shared" ref="K531:L532" si="214">K532</f>
        <v>50000</v>
      </c>
      <c r="L531" s="159">
        <f t="shared" si="214"/>
        <v>50000</v>
      </c>
    </row>
    <row r="532" spans="1:12" s="147" customFormat="1">
      <c r="A532" s="149" t="s">
        <v>80</v>
      </c>
      <c r="B532" s="148" t="s">
        <v>403</v>
      </c>
      <c r="C532" s="148" t="s">
        <v>16</v>
      </c>
      <c r="D532" s="148" t="s">
        <v>31</v>
      </c>
      <c r="E532" s="148" t="s">
        <v>13</v>
      </c>
      <c r="F532" s="148" t="s">
        <v>70</v>
      </c>
      <c r="G532" s="148" t="s">
        <v>148</v>
      </c>
      <c r="H532" s="148" t="s">
        <v>227</v>
      </c>
      <c r="I532" s="146" t="s">
        <v>77</v>
      </c>
      <c r="J532" s="159">
        <f>J533</f>
        <v>50000</v>
      </c>
      <c r="K532" s="159">
        <f t="shared" si="214"/>
        <v>50000</v>
      </c>
      <c r="L532" s="159">
        <f t="shared" si="214"/>
        <v>50000</v>
      </c>
    </row>
    <row r="533" spans="1:12" ht="25.5">
      <c r="A533" s="150" t="s">
        <v>81</v>
      </c>
      <c r="B533" s="148" t="s">
        <v>403</v>
      </c>
      <c r="C533" s="148" t="s">
        <v>16</v>
      </c>
      <c r="D533" s="148" t="s">
        <v>31</v>
      </c>
      <c r="E533" s="148" t="s">
        <v>13</v>
      </c>
      <c r="F533" s="148" t="s">
        <v>70</v>
      </c>
      <c r="G533" s="148" t="s">
        <v>148</v>
      </c>
      <c r="H533" s="148" t="s">
        <v>227</v>
      </c>
      <c r="I533" s="146" t="s">
        <v>78</v>
      </c>
      <c r="J533" s="159">
        <v>50000</v>
      </c>
      <c r="K533" s="159">
        <v>50000</v>
      </c>
      <c r="L533" s="159">
        <v>50000</v>
      </c>
    </row>
    <row r="534" spans="1:12" ht="25.5">
      <c r="A534" s="7" t="s">
        <v>300</v>
      </c>
      <c r="B534" s="1" t="s">
        <v>403</v>
      </c>
      <c r="C534" s="1" t="s">
        <v>16</v>
      </c>
      <c r="D534" s="1" t="s">
        <v>31</v>
      </c>
      <c r="E534" s="148" t="s">
        <v>13</v>
      </c>
      <c r="F534" s="1" t="s">
        <v>70</v>
      </c>
      <c r="G534" s="1" t="s">
        <v>148</v>
      </c>
      <c r="H534" s="1" t="s">
        <v>220</v>
      </c>
      <c r="I534" s="13"/>
      <c r="J534" s="117">
        <f>J535</f>
        <v>129750</v>
      </c>
      <c r="K534" s="161">
        <f t="shared" ref="K534:L535" si="215">K535</f>
        <v>89682</v>
      </c>
      <c r="L534" s="161">
        <f t="shared" si="215"/>
        <v>89682</v>
      </c>
    </row>
    <row r="535" spans="1:12">
      <c r="A535" s="2" t="s">
        <v>80</v>
      </c>
      <c r="B535" s="1" t="s">
        <v>403</v>
      </c>
      <c r="C535" s="1" t="s">
        <v>16</v>
      </c>
      <c r="D535" s="1" t="s">
        <v>31</v>
      </c>
      <c r="E535" s="148" t="s">
        <v>13</v>
      </c>
      <c r="F535" s="1" t="s">
        <v>70</v>
      </c>
      <c r="G535" s="1" t="s">
        <v>148</v>
      </c>
      <c r="H535" s="1" t="s">
        <v>220</v>
      </c>
      <c r="I535" s="13" t="s">
        <v>77</v>
      </c>
      <c r="J535" s="117">
        <f>J536</f>
        <v>129750</v>
      </c>
      <c r="K535" s="161">
        <f t="shared" si="215"/>
        <v>89682</v>
      </c>
      <c r="L535" s="161">
        <f t="shared" si="215"/>
        <v>89682</v>
      </c>
    </row>
    <row r="536" spans="1:12" ht="25.5">
      <c r="A536" s="7" t="s">
        <v>81</v>
      </c>
      <c r="B536" s="1" t="s">
        <v>403</v>
      </c>
      <c r="C536" s="1" t="s">
        <v>16</v>
      </c>
      <c r="D536" s="1" t="s">
        <v>31</v>
      </c>
      <c r="E536" s="148" t="s">
        <v>13</v>
      </c>
      <c r="F536" s="1" t="s">
        <v>70</v>
      </c>
      <c r="G536" s="1" t="s">
        <v>148</v>
      </c>
      <c r="H536" s="1" t="s">
        <v>220</v>
      </c>
      <c r="I536" s="13" t="s">
        <v>78</v>
      </c>
      <c r="J536" s="117">
        <v>129750</v>
      </c>
      <c r="K536" s="161">
        <v>89682</v>
      </c>
      <c r="L536" s="161">
        <v>89682</v>
      </c>
    </row>
    <row r="537" spans="1:12" s="147" customFormat="1" ht="25.5">
      <c r="A537" s="150" t="s">
        <v>353</v>
      </c>
      <c r="B537" s="148" t="s">
        <v>403</v>
      </c>
      <c r="C537" s="148" t="s">
        <v>16</v>
      </c>
      <c r="D537" s="148" t="s">
        <v>31</v>
      </c>
      <c r="E537" s="148" t="s">
        <v>82</v>
      </c>
      <c r="F537" s="148" t="s">
        <v>70</v>
      </c>
      <c r="G537" s="148" t="s">
        <v>148</v>
      </c>
      <c r="H537" s="148" t="s">
        <v>149</v>
      </c>
      <c r="I537" s="146"/>
      <c r="J537" s="161">
        <f>J538</f>
        <v>1500000</v>
      </c>
      <c r="K537" s="161">
        <f t="shared" ref="K537:L539" si="216">K538</f>
        <v>0</v>
      </c>
      <c r="L537" s="161">
        <f t="shared" si="216"/>
        <v>0</v>
      </c>
    </row>
    <row r="538" spans="1:12" s="147" customFormat="1" ht="25.5">
      <c r="A538" s="150" t="s">
        <v>353</v>
      </c>
      <c r="B538" s="148" t="s">
        <v>403</v>
      </c>
      <c r="C538" s="148" t="s">
        <v>16</v>
      </c>
      <c r="D538" s="148" t="s">
        <v>31</v>
      </c>
      <c r="E538" s="148" t="s">
        <v>82</v>
      </c>
      <c r="F538" s="148" t="s">
        <v>70</v>
      </c>
      <c r="G538" s="148" t="s">
        <v>148</v>
      </c>
      <c r="H538" s="148" t="s">
        <v>352</v>
      </c>
      <c r="I538" s="146"/>
      <c r="J538" s="161">
        <f>J539</f>
        <v>1500000</v>
      </c>
      <c r="K538" s="161">
        <f t="shared" si="216"/>
        <v>0</v>
      </c>
      <c r="L538" s="161">
        <f t="shared" si="216"/>
        <v>0</v>
      </c>
    </row>
    <row r="539" spans="1:12" s="147" customFormat="1" ht="25.5">
      <c r="A539" s="157" t="s">
        <v>260</v>
      </c>
      <c r="B539" s="148" t="s">
        <v>403</v>
      </c>
      <c r="C539" s="148" t="s">
        <v>16</v>
      </c>
      <c r="D539" s="148" t="s">
        <v>31</v>
      </c>
      <c r="E539" s="148" t="s">
        <v>82</v>
      </c>
      <c r="F539" s="148" t="s">
        <v>70</v>
      </c>
      <c r="G539" s="148" t="s">
        <v>148</v>
      </c>
      <c r="H539" s="148" t="s">
        <v>352</v>
      </c>
      <c r="I539" s="146" t="s">
        <v>94</v>
      </c>
      <c r="J539" s="161">
        <f>J540</f>
        <v>1500000</v>
      </c>
      <c r="K539" s="161">
        <f t="shared" si="216"/>
        <v>0</v>
      </c>
      <c r="L539" s="161">
        <f t="shared" si="216"/>
        <v>0</v>
      </c>
    </row>
    <row r="540" spans="1:12" s="147" customFormat="1" ht="25.5">
      <c r="A540" s="156" t="s">
        <v>98</v>
      </c>
      <c r="B540" s="148" t="s">
        <v>403</v>
      </c>
      <c r="C540" s="148" t="s">
        <v>16</v>
      </c>
      <c r="D540" s="148" t="s">
        <v>31</v>
      </c>
      <c r="E540" s="148" t="s">
        <v>82</v>
      </c>
      <c r="F540" s="148" t="s">
        <v>70</v>
      </c>
      <c r="G540" s="148" t="s">
        <v>148</v>
      </c>
      <c r="H540" s="148" t="s">
        <v>352</v>
      </c>
      <c r="I540" s="146" t="s">
        <v>95</v>
      </c>
      <c r="J540" s="161">
        <v>1500000</v>
      </c>
      <c r="K540" s="161"/>
      <c r="L540" s="161"/>
    </row>
    <row r="541" spans="1:12">
      <c r="A541" s="7"/>
      <c r="B541" s="1"/>
      <c r="C541" s="1"/>
      <c r="D541" s="1"/>
      <c r="E541" s="1"/>
      <c r="F541" s="1"/>
      <c r="G541" s="1"/>
      <c r="H541" s="1"/>
      <c r="I541" s="13"/>
      <c r="J541" s="87"/>
      <c r="K541" s="159"/>
      <c r="L541" s="159"/>
    </row>
    <row r="542" spans="1:12" ht="15.75">
      <c r="A542" s="35" t="s">
        <v>46</v>
      </c>
      <c r="B542" s="31" t="s">
        <v>403</v>
      </c>
      <c r="C542" s="31" t="s">
        <v>18</v>
      </c>
      <c r="D542" s="31"/>
      <c r="E542" s="31"/>
      <c r="F542" s="31"/>
      <c r="G542" s="31"/>
      <c r="H542" s="31"/>
      <c r="I542" s="34"/>
      <c r="J542" s="115">
        <f>J543+J560+J585</f>
        <v>50178822.200000003</v>
      </c>
      <c r="K542" s="115">
        <f>K543+K560+K585</f>
        <v>25825224.580000002</v>
      </c>
      <c r="L542" s="115">
        <f>L543+L560+L585</f>
        <v>25752142.93</v>
      </c>
    </row>
    <row r="543" spans="1:12">
      <c r="A543" s="19" t="s">
        <v>61</v>
      </c>
      <c r="B543" s="15" t="s">
        <v>403</v>
      </c>
      <c r="C543" s="15" t="s">
        <v>18</v>
      </c>
      <c r="D543" s="15" t="s">
        <v>20</v>
      </c>
      <c r="E543" s="15"/>
      <c r="F543" s="15"/>
      <c r="G543" s="15"/>
      <c r="H543" s="15"/>
      <c r="I543" s="28"/>
      <c r="J543" s="116">
        <f>J544</f>
        <v>12152137.199999999</v>
      </c>
      <c r="K543" s="116">
        <f t="shared" ref="K543:L543" si="217">K544</f>
        <v>0</v>
      </c>
      <c r="L543" s="116">
        <f t="shared" si="217"/>
        <v>0</v>
      </c>
    </row>
    <row r="544" spans="1:12" ht="38.25">
      <c r="A544" s="149" t="s">
        <v>289</v>
      </c>
      <c r="B544" s="1" t="s">
        <v>403</v>
      </c>
      <c r="C544" s="1" t="s">
        <v>18</v>
      </c>
      <c r="D544" s="1" t="s">
        <v>20</v>
      </c>
      <c r="E544" s="1" t="s">
        <v>27</v>
      </c>
      <c r="F544" s="1" t="s">
        <v>70</v>
      </c>
      <c r="G544" s="1" t="s">
        <v>148</v>
      </c>
      <c r="H544" s="1" t="s">
        <v>149</v>
      </c>
      <c r="I544" s="13"/>
      <c r="J544" s="87">
        <f>J545</f>
        <v>12152137.199999999</v>
      </c>
      <c r="K544" s="159">
        <f t="shared" ref="K544:L544" si="218">K545</f>
        <v>0</v>
      </c>
      <c r="L544" s="159">
        <f t="shared" si="218"/>
        <v>0</v>
      </c>
    </row>
    <row r="545" spans="1:12">
      <c r="A545" s="7" t="s">
        <v>215</v>
      </c>
      <c r="B545" s="1" t="s">
        <v>403</v>
      </c>
      <c r="C545" s="1" t="s">
        <v>18</v>
      </c>
      <c r="D545" s="1" t="s">
        <v>20</v>
      </c>
      <c r="E545" s="1" t="s">
        <v>27</v>
      </c>
      <c r="F545" s="1" t="s">
        <v>127</v>
      </c>
      <c r="G545" s="1" t="s">
        <v>148</v>
      </c>
      <c r="H545" s="1" t="s">
        <v>149</v>
      </c>
      <c r="I545" s="13"/>
      <c r="J545" s="87">
        <f>J546+J549+J554</f>
        <v>12152137.199999999</v>
      </c>
      <c r="K545" s="159">
        <f t="shared" ref="K545:L545" si="219">K546+K549+K554</f>
        <v>0</v>
      </c>
      <c r="L545" s="159">
        <f t="shared" si="219"/>
        <v>0</v>
      </c>
    </row>
    <row r="546" spans="1:12">
      <c r="A546" s="7" t="s">
        <v>355</v>
      </c>
      <c r="B546" s="1" t="s">
        <v>403</v>
      </c>
      <c r="C546" s="1" t="s">
        <v>18</v>
      </c>
      <c r="D546" s="1" t="s">
        <v>20</v>
      </c>
      <c r="E546" s="1" t="s">
        <v>27</v>
      </c>
      <c r="F546" s="1" t="s">
        <v>127</v>
      </c>
      <c r="G546" s="1" t="s">
        <v>148</v>
      </c>
      <c r="H546" s="1" t="s">
        <v>354</v>
      </c>
      <c r="I546" s="13"/>
      <c r="J546" s="87">
        <f>J547</f>
        <v>1500000</v>
      </c>
      <c r="K546" s="159">
        <f t="shared" ref="K546:L547" si="220">K547</f>
        <v>0</v>
      </c>
      <c r="L546" s="159">
        <f t="shared" si="220"/>
        <v>0</v>
      </c>
    </row>
    <row r="547" spans="1:12" ht="25.5">
      <c r="A547" s="157" t="s">
        <v>260</v>
      </c>
      <c r="B547" s="1" t="s">
        <v>403</v>
      </c>
      <c r="C547" s="1" t="s">
        <v>18</v>
      </c>
      <c r="D547" s="1" t="s">
        <v>20</v>
      </c>
      <c r="E547" s="1" t="s">
        <v>27</v>
      </c>
      <c r="F547" s="1" t="s">
        <v>127</v>
      </c>
      <c r="G547" s="1" t="s">
        <v>148</v>
      </c>
      <c r="H547" s="148" t="s">
        <v>354</v>
      </c>
      <c r="I547" s="13" t="s">
        <v>94</v>
      </c>
      <c r="J547" s="87">
        <f>J548</f>
        <v>1500000</v>
      </c>
      <c r="K547" s="159">
        <f t="shared" si="220"/>
        <v>0</v>
      </c>
      <c r="L547" s="159">
        <f t="shared" si="220"/>
        <v>0</v>
      </c>
    </row>
    <row r="548" spans="1:12" s="163" customFormat="1" ht="25.5">
      <c r="A548" s="81" t="s">
        <v>98</v>
      </c>
      <c r="B548" s="1" t="s">
        <v>403</v>
      </c>
      <c r="C548" s="1" t="s">
        <v>18</v>
      </c>
      <c r="D548" s="1" t="s">
        <v>20</v>
      </c>
      <c r="E548" s="1" t="s">
        <v>27</v>
      </c>
      <c r="F548" s="1" t="s">
        <v>127</v>
      </c>
      <c r="G548" s="1" t="s">
        <v>148</v>
      </c>
      <c r="H548" s="148" t="s">
        <v>354</v>
      </c>
      <c r="I548" s="13" t="s">
        <v>95</v>
      </c>
      <c r="J548" s="87">
        <v>1500000</v>
      </c>
      <c r="K548" s="159"/>
      <c r="L548" s="159"/>
    </row>
    <row r="549" spans="1:12" s="163" customFormat="1" ht="65.25" customHeight="1">
      <c r="A549" s="173" t="s">
        <v>255</v>
      </c>
      <c r="B549" s="148" t="s">
        <v>403</v>
      </c>
      <c r="C549" s="160" t="s">
        <v>18</v>
      </c>
      <c r="D549" s="160" t="s">
        <v>20</v>
      </c>
      <c r="E549" s="160" t="s">
        <v>27</v>
      </c>
      <c r="F549" s="160" t="s">
        <v>127</v>
      </c>
      <c r="G549" s="160" t="s">
        <v>256</v>
      </c>
      <c r="H549" s="160" t="s">
        <v>257</v>
      </c>
      <c r="I549" s="137"/>
      <c r="J549" s="138">
        <f>J550+J552</f>
        <v>10449544</v>
      </c>
      <c r="K549" s="138">
        <f t="shared" ref="K549:L549" si="221">K550+K552</f>
        <v>0</v>
      </c>
      <c r="L549" s="138">
        <f t="shared" si="221"/>
        <v>0</v>
      </c>
    </row>
    <row r="550" spans="1:12" s="163" customFormat="1" ht="25.5">
      <c r="A550" s="150" t="s">
        <v>120</v>
      </c>
      <c r="B550" s="148" t="s">
        <v>403</v>
      </c>
      <c r="C550" s="160" t="s">
        <v>18</v>
      </c>
      <c r="D550" s="160" t="s">
        <v>20</v>
      </c>
      <c r="E550" s="160" t="s">
        <v>27</v>
      </c>
      <c r="F550" s="160" t="s">
        <v>127</v>
      </c>
      <c r="G550" s="160" t="s">
        <v>256</v>
      </c>
      <c r="H550" s="160" t="s">
        <v>257</v>
      </c>
      <c r="I550" s="162" t="s">
        <v>118</v>
      </c>
      <c r="J550" s="138">
        <f>J551</f>
        <v>9299544</v>
      </c>
      <c r="K550" s="138">
        <f t="shared" ref="K550:L550" si="222">K551</f>
        <v>0</v>
      </c>
      <c r="L550" s="138">
        <f t="shared" si="222"/>
        <v>0</v>
      </c>
    </row>
    <row r="551" spans="1:12" s="163" customFormat="1">
      <c r="A551" s="150" t="s">
        <v>121</v>
      </c>
      <c r="B551" s="148" t="s">
        <v>403</v>
      </c>
      <c r="C551" s="160" t="s">
        <v>18</v>
      </c>
      <c r="D551" s="160" t="s">
        <v>20</v>
      </c>
      <c r="E551" s="160" t="s">
        <v>27</v>
      </c>
      <c r="F551" s="160" t="s">
        <v>127</v>
      </c>
      <c r="G551" s="160" t="s">
        <v>256</v>
      </c>
      <c r="H551" s="160" t="s">
        <v>257</v>
      </c>
      <c r="I551" s="162" t="s">
        <v>119</v>
      </c>
      <c r="J551" s="138">
        <v>9299544</v>
      </c>
      <c r="K551" s="138"/>
      <c r="L551" s="138"/>
    </row>
    <row r="552" spans="1:12" s="163" customFormat="1">
      <c r="A552" s="156" t="s">
        <v>80</v>
      </c>
      <c r="B552" s="148" t="s">
        <v>403</v>
      </c>
      <c r="C552" s="160" t="s">
        <v>18</v>
      </c>
      <c r="D552" s="160" t="s">
        <v>20</v>
      </c>
      <c r="E552" s="160" t="s">
        <v>27</v>
      </c>
      <c r="F552" s="160" t="s">
        <v>127</v>
      </c>
      <c r="G552" s="160" t="s">
        <v>256</v>
      </c>
      <c r="H552" s="160" t="s">
        <v>257</v>
      </c>
      <c r="I552" s="137" t="s">
        <v>77</v>
      </c>
      <c r="J552" s="138">
        <f>J553</f>
        <v>1150000</v>
      </c>
      <c r="K552" s="138">
        <f t="shared" ref="K552:L552" si="223">K553</f>
        <v>0</v>
      </c>
      <c r="L552" s="138">
        <f t="shared" si="223"/>
        <v>0</v>
      </c>
    </row>
    <row r="553" spans="1:12" s="163" customFormat="1">
      <c r="A553" s="158" t="s">
        <v>125</v>
      </c>
      <c r="B553" s="148" t="s">
        <v>403</v>
      </c>
      <c r="C553" s="160" t="s">
        <v>18</v>
      </c>
      <c r="D553" s="160" t="s">
        <v>20</v>
      </c>
      <c r="E553" s="160" t="s">
        <v>27</v>
      </c>
      <c r="F553" s="160" t="s">
        <v>127</v>
      </c>
      <c r="G553" s="160" t="s">
        <v>256</v>
      </c>
      <c r="H553" s="160" t="s">
        <v>257</v>
      </c>
      <c r="I553" s="137" t="s">
        <v>124</v>
      </c>
      <c r="J553" s="138">
        <v>1150000</v>
      </c>
      <c r="K553" s="138"/>
      <c r="L553" s="138"/>
    </row>
    <row r="554" spans="1:12" s="163" customFormat="1" ht="52.5" customHeight="1">
      <c r="A554" s="173" t="s">
        <v>258</v>
      </c>
      <c r="B554" s="148" t="s">
        <v>403</v>
      </c>
      <c r="C554" s="160" t="s">
        <v>18</v>
      </c>
      <c r="D554" s="160" t="s">
        <v>20</v>
      </c>
      <c r="E554" s="160" t="s">
        <v>27</v>
      </c>
      <c r="F554" s="160" t="s">
        <v>127</v>
      </c>
      <c r="G554" s="160" t="s">
        <v>256</v>
      </c>
      <c r="H554" s="160" t="s">
        <v>259</v>
      </c>
      <c r="I554" s="137"/>
      <c r="J554" s="138">
        <f>J555+J557</f>
        <v>202593.2</v>
      </c>
      <c r="K554" s="138">
        <f t="shared" ref="K554:L554" si="224">K555+K557</f>
        <v>0</v>
      </c>
      <c r="L554" s="138">
        <f t="shared" si="224"/>
        <v>0</v>
      </c>
    </row>
    <row r="555" spans="1:12" s="163" customFormat="1" ht="25.5">
      <c r="A555" s="150" t="s">
        <v>120</v>
      </c>
      <c r="B555" s="148" t="s">
        <v>403</v>
      </c>
      <c r="C555" s="160" t="s">
        <v>18</v>
      </c>
      <c r="D555" s="160" t="s">
        <v>20</v>
      </c>
      <c r="E555" s="160" t="s">
        <v>27</v>
      </c>
      <c r="F555" s="160" t="s">
        <v>127</v>
      </c>
      <c r="G555" s="160" t="s">
        <v>256</v>
      </c>
      <c r="H555" s="160" t="s">
        <v>259</v>
      </c>
      <c r="I555" s="137" t="s">
        <v>118</v>
      </c>
      <c r="J555" s="138">
        <f>J556</f>
        <v>180393.2</v>
      </c>
      <c r="K555" s="138">
        <f t="shared" ref="K555:L555" si="225">K556</f>
        <v>0</v>
      </c>
      <c r="L555" s="138">
        <f t="shared" si="225"/>
        <v>0</v>
      </c>
    </row>
    <row r="556" spans="1:12" s="163" customFormat="1">
      <c r="A556" s="150" t="s">
        <v>121</v>
      </c>
      <c r="B556" s="148" t="s">
        <v>403</v>
      </c>
      <c r="C556" s="160" t="s">
        <v>18</v>
      </c>
      <c r="D556" s="160" t="s">
        <v>20</v>
      </c>
      <c r="E556" s="160" t="s">
        <v>27</v>
      </c>
      <c r="F556" s="160" t="s">
        <v>127</v>
      </c>
      <c r="G556" s="160" t="s">
        <v>256</v>
      </c>
      <c r="H556" s="160" t="s">
        <v>259</v>
      </c>
      <c r="I556" s="137" t="s">
        <v>119</v>
      </c>
      <c r="J556" s="138">
        <v>180393.2</v>
      </c>
      <c r="K556" s="138"/>
      <c r="L556" s="138"/>
    </row>
    <row r="557" spans="1:12" s="163" customFormat="1">
      <c r="A557" s="156" t="s">
        <v>80</v>
      </c>
      <c r="B557" s="148" t="s">
        <v>403</v>
      </c>
      <c r="C557" s="160" t="s">
        <v>18</v>
      </c>
      <c r="D557" s="160" t="s">
        <v>20</v>
      </c>
      <c r="E557" s="160" t="s">
        <v>27</v>
      </c>
      <c r="F557" s="160" t="s">
        <v>127</v>
      </c>
      <c r="G557" s="160" t="s">
        <v>256</v>
      </c>
      <c r="H557" s="160" t="s">
        <v>259</v>
      </c>
      <c r="I557" s="137" t="s">
        <v>77</v>
      </c>
      <c r="J557" s="138">
        <f>J558</f>
        <v>22200</v>
      </c>
      <c r="K557" s="138">
        <f t="shared" ref="K557:L557" si="226">K558</f>
        <v>0</v>
      </c>
      <c r="L557" s="138">
        <f t="shared" si="226"/>
        <v>0</v>
      </c>
    </row>
    <row r="558" spans="1:12">
      <c r="A558" s="158" t="s">
        <v>125</v>
      </c>
      <c r="B558" s="148" t="s">
        <v>403</v>
      </c>
      <c r="C558" s="160" t="s">
        <v>18</v>
      </c>
      <c r="D558" s="160" t="s">
        <v>20</v>
      </c>
      <c r="E558" s="160" t="s">
        <v>27</v>
      </c>
      <c r="F558" s="160" t="s">
        <v>127</v>
      </c>
      <c r="G558" s="160" t="s">
        <v>256</v>
      </c>
      <c r="H558" s="160" t="s">
        <v>259</v>
      </c>
      <c r="I558" s="137" t="s">
        <v>124</v>
      </c>
      <c r="J558" s="138">
        <v>22200</v>
      </c>
      <c r="K558" s="138"/>
      <c r="L558" s="138"/>
    </row>
    <row r="559" spans="1:12">
      <c r="A559" s="7"/>
      <c r="B559" s="1"/>
      <c r="C559" s="1"/>
      <c r="D559" s="1"/>
      <c r="E559" s="1"/>
      <c r="F559" s="1"/>
      <c r="G559" s="1"/>
      <c r="H559" s="1"/>
      <c r="I559" s="137"/>
      <c r="J559" s="138"/>
      <c r="K559" s="138"/>
      <c r="L559" s="138"/>
    </row>
    <row r="560" spans="1:12" s="163" customFormat="1">
      <c r="A560" s="64" t="s">
        <v>47</v>
      </c>
      <c r="B560" s="15" t="s">
        <v>403</v>
      </c>
      <c r="C560" s="15" t="s">
        <v>18</v>
      </c>
      <c r="D560" s="15" t="s">
        <v>17</v>
      </c>
      <c r="E560" s="15"/>
      <c r="F560" s="15"/>
      <c r="G560" s="15"/>
      <c r="H560" s="15"/>
      <c r="I560" s="28"/>
      <c r="J560" s="116">
        <f>J573+J561+J568+J577</f>
        <v>12249183</v>
      </c>
      <c r="K560" s="116">
        <f t="shared" ref="K560:L560" si="227">K573+K561+K568+K577</f>
        <v>7198522.4499999993</v>
      </c>
      <c r="L560" s="116">
        <f t="shared" si="227"/>
        <v>7412302.0999999996</v>
      </c>
    </row>
    <row r="561" spans="1:12" s="163" customFormat="1" ht="38.25">
      <c r="A561" s="128" t="s">
        <v>286</v>
      </c>
      <c r="B561" s="136" t="s">
        <v>403</v>
      </c>
      <c r="C561" s="136" t="s">
        <v>18</v>
      </c>
      <c r="D561" s="136" t="s">
        <v>17</v>
      </c>
      <c r="E561" s="136" t="s">
        <v>3</v>
      </c>
      <c r="F561" s="136" t="s">
        <v>70</v>
      </c>
      <c r="G561" s="136" t="s">
        <v>148</v>
      </c>
      <c r="H561" s="136" t="s">
        <v>149</v>
      </c>
      <c r="I561" s="137"/>
      <c r="J561" s="138">
        <f>J562+J565</f>
        <v>4403000</v>
      </c>
      <c r="K561" s="138">
        <f t="shared" ref="K561:L561" si="228">K562+K565</f>
        <v>0</v>
      </c>
      <c r="L561" s="138">
        <f t="shared" si="228"/>
        <v>0</v>
      </c>
    </row>
    <row r="562" spans="1:12" s="163" customFormat="1">
      <c r="A562" s="164" t="s">
        <v>356</v>
      </c>
      <c r="B562" s="136" t="s">
        <v>403</v>
      </c>
      <c r="C562" s="136" t="s">
        <v>18</v>
      </c>
      <c r="D562" s="136" t="s">
        <v>17</v>
      </c>
      <c r="E562" s="136" t="s">
        <v>3</v>
      </c>
      <c r="F562" s="136" t="s">
        <v>70</v>
      </c>
      <c r="G562" s="136" t="s">
        <v>148</v>
      </c>
      <c r="H562" s="136" t="s">
        <v>271</v>
      </c>
      <c r="I562" s="137"/>
      <c r="J562" s="138">
        <f>J563</f>
        <v>1770000</v>
      </c>
      <c r="K562" s="138">
        <f t="shared" ref="K562:L563" si="229">K563</f>
        <v>0</v>
      </c>
      <c r="L562" s="138">
        <f t="shared" si="229"/>
        <v>0</v>
      </c>
    </row>
    <row r="563" spans="1:12" s="163" customFormat="1" ht="25.5">
      <c r="A563" s="150" t="s">
        <v>120</v>
      </c>
      <c r="B563" s="136" t="s">
        <v>403</v>
      </c>
      <c r="C563" s="136" t="s">
        <v>18</v>
      </c>
      <c r="D563" s="136" t="s">
        <v>17</v>
      </c>
      <c r="E563" s="136" t="s">
        <v>3</v>
      </c>
      <c r="F563" s="136" t="s">
        <v>70</v>
      </c>
      <c r="G563" s="136" t="s">
        <v>148</v>
      </c>
      <c r="H563" s="136" t="s">
        <v>271</v>
      </c>
      <c r="I563" s="137" t="s">
        <v>118</v>
      </c>
      <c r="J563" s="138">
        <f>J564</f>
        <v>1770000</v>
      </c>
      <c r="K563" s="138">
        <f t="shared" si="229"/>
        <v>0</v>
      </c>
      <c r="L563" s="138">
        <f t="shared" si="229"/>
        <v>0</v>
      </c>
    </row>
    <row r="564" spans="1:12" s="163" customFormat="1">
      <c r="A564" s="150" t="s">
        <v>121</v>
      </c>
      <c r="B564" s="136" t="s">
        <v>403</v>
      </c>
      <c r="C564" s="136" t="s">
        <v>18</v>
      </c>
      <c r="D564" s="136" t="s">
        <v>17</v>
      </c>
      <c r="E564" s="136" t="s">
        <v>3</v>
      </c>
      <c r="F564" s="136" t="s">
        <v>70</v>
      </c>
      <c r="G564" s="136" t="s">
        <v>148</v>
      </c>
      <c r="H564" s="136" t="s">
        <v>271</v>
      </c>
      <c r="I564" s="137" t="s">
        <v>119</v>
      </c>
      <c r="J564" s="138">
        <v>1770000</v>
      </c>
      <c r="K564" s="138"/>
      <c r="L564" s="138"/>
    </row>
    <row r="565" spans="1:12" s="163" customFormat="1" ht="25.5">
      <c r="A565" s="150" t="s">
        <v>312</v>
      </c>
      <c r="B565" s="136" t="s">
        <v>403</v>
      </c>
      <c r="C565" s="136" t="s">
        <v>18</v>
      </c>
      <c r="D565" s="136" t="s">
        <v>17</v>
      </c>
      <c r="E565" s="136" t="s">
        <v>3</v>
      </c>
      <c r="F565" s="136" t="s">
        <v>70</v>
      </c>
      <c r="G565" s="136" t="s">
        <v>148</v>
      </c>
      <c r="H565" s="136" t="s">
        <v>311</v>
      </c>
      <c r="I565" s="137"/>
      <c r="J565" s="138">
        <f>J566</f>
        <v>2633000</v>
      </c>
      <c r="K565" s="138">
        <f t="shared" ref="K565:L566" si="230">K566</f>
        <v>0</v>
      </c>
      <c r="L565" s="138">
        <f t="shared" si="230"/>
        <v>0</v>
      </c>
    </row>
    <row r="566" spans="1:12" s="163" customFormat="1" ht="25.5">
      <c r="A566" s="157" t="s">
        <v>260</v>
      </c>
      <c r="B566" s="136" t="s">
        <v>403</v>
      </c>
      <c r="C566" s="136" t="s">
        <v>18</v>
      </c>
      <c r="D566" s="136" t="s">
        <v>17</v>
      </c>
      <c r="E566" s="136" t="s">
        <v>3</v>
      </c>
      <c r="F566" s="136" t="s">
        <v>70</v>
      </c>
      <c r="G566" s="136" t="s">
        <v>148</v>
      </c>
      <c r="H566" s="136" t="s">
        <v>311</v>
      </c>
      <c r="I566" s="137" t="s">
        <v>94</v>
      </c>
      <c r="J566" s="138">
        <f>J567</f>
        <v>2633000</v>
      </c>
      <c r="K566" s="138">
        <f t="shared" si="230"/>
        <v>0</v>
      </c>
      <c r="L566" s="138">
        <f t="shared" si="230"/>
        <v>0</v>
      </c>
    </row>
    <row r="567" spans="1:12" s="163" customFormat="1" ht="25.5">
      <c r="A567" s="156" t="s">
        <v>98</v>
      </c>
      <c r="B567" s="136" t="s">
        <v>403</v>
      </c>
      <c r="C567" s="136" t="s">
        <v>18</v>
      </c>
      <c r="D567" s="136" t="s">
        <v>17</v>
      </c>
      <c r="E567" s="136" t="s">
        <v>3</v>
      </c>
      <c r="F567" s="136" t="s">
        <v>70</v>
      </c>
      <c r="G567" s="136" t="s">
        <v>148</v>
      </c>
      <c r="H567" s="136" t="s">
        <v>311</v>
      </c>
      <c r="I567" s="137" t="s">
        <v>95</v>
      </c>
      <c r="J567" s="138">
        <v>2633000</v>
      </c>
      <c r="K567" s="138"/>
      <c r="L567" s="138"/>
    </row>
    <row r="568" spans="1:12" s="163" customFormat="1" ht="38.25">
      <c r="A568" s="149" t="s">
        <v>289</v>
      </c>
      <c r="B568" s="136" t="s">
        <v>403</v>
      </c>
      <c r="C568" s="136" t="s">
        <v>18</v>
      </c>
      <c r="D568" s="136" t="s">
        <v>17</v>
      </c>
      <c r="E568" s="136" t="s">
        <v>27</v>
      </c>
      <c r="F568" s="136" t="s">
        <v>70</v>
      </c>
      <c r="G568" s="136" t="s">
        <v>148</v>
      </c>
      <c r="H568" s="136" t="s">
        <v>149</v>
      </c>
      <c r="I568" s="137"/>
      <c r="J568" s="138">
        <f>J569</f>
        <v>500000</v>
      </c>
      <c r="K568" s="138">
        <f t="shared" ref="K568:L571" si="231">K569</f>
        <v>0</v>
      </c>
      <c r="L568" s="138">
        <f t="shared" si="231"/>
        <v>0</v>
      </c>
    </row>
    <row r="569" spans="1:12" s="163" customFormat="1">
      <c r="A569" s="149" t="s">
        <v>211</v>
      </c>
      <c r="B569" s="136" t="s">
        <v>403</v>
      </c>
      <c r="C569" s="136" t="s">
        <v>18</v>
      </c>
      <c r="D569" s="136" t="s">
        <v>17</v>
      </c>
      <c r="E569" s="136" t="s">
        <v>27</v>
      </c>
      <c r="F569" s="136" t="s">
        <v>44</v>
      </c>
      <c r="G569" s="136" t="s">
        <v>148</v>
      </c>
      <c r="H569" s="136" t="s">
        <v>149</v>
      </c>
      <c r="I569" s="137"/>
      <c r="J569" s="138">
        <f>J570</f>
        <v>500000</v>
      </c>
      <c r="K569" s="138">
        <f t="shared" si="231"/>
        <v>0</v>
      </c>
      <c r="L569" s="138">
        <f t="shared" si="231"/>
        <v>0</v>
      </c>
    </row>
    <row r="570" spans="1:12" s="163" customFormat="1" ht="25.5">
      <c r="A570" s="149" t="s">
        <v>212</v>
      </c>
      <c r="B570" s="136" t="s">
        <v>403</v>
      </c>
      <c r="C570" s="136" t="s">
        <v>18</v>
      </c>
      <c r="D570" s="136" t="s">
        <v>17</v>
      </c>
      <c r="E570" s="136" t="s">
        <v>27</v>
      </c>
      <c r="F570" s="136" t="s">
        <v>44</v>
      </c>
      <c r="G570" s="136" t="s">
        <v>148</v>
      </c>
      <c r="H570" s="136" t="s">
        <v>213</v>
      </c>
      <c r="I570" s="137"/>
      <c r="J570" s="138">
        <f>J571</f>
        <v>500000</v>
      </c>
      <c r="K570" s="138">
        <f t="shared" si="231"/>
        <v>0</v>
      </c>
      <c r="L570" s="138">
        <f t="shared" si="231"/>
        <v>0</v>
      </c>
    </row>
    <row r="571" spans="1:12" s="163" customFormat="1" ht="25.5">
      <c r="A571" s="157" t="s">
        <v>260</v>
      </c>
      <c r="B571" s="136" t="s">
        <v>403</v>
      </c>
      <c r="C571" s="136" t="s">
        <v>18</v>
      </c>
      <c r="D571" s="136" t="s">
        <v>17</v>
      </c>
      <c r="E571" s="136" t="s">
        <v>27</v>
      </c>
      <c r="F571" s="136" t="s">
        <v>44</v>
      </c>
      <c r="G571" s="136" t="s">
        <v>148</v>
      </c>
      <c r="H571" s="136" t="s">
        <v>213</v>
      </c>
      <c r="I571" s="137" t="s">
        <v>94</v>
      </c>
      <c r="J571" s="138">
        <f>J572</f>
        <v>500000</v>
      </c>
      <c r="K571" s="138">
        <f t="shared" si="231"/>
        <v>0</v>
      </c>
      <c r="L571" s="138">
        <f t="shared" si="231"/>
        <v>0</v>
      </c>
    </row>
    <row r="572" spans="1:12" s="147" customFormat="1" ht="25.5">
      <c r="A572" s="156" t="s">
        <v>98</v>
      </c>
      <c r="B572" s="136" t="s">
        <v>403</v>
      </c>
      <c r="C572" s="136" t="s">
        <v>18</v>
      </c>
      <c r="D572" s="136" t="s">
        <v>17</v>
      </c>
      <c r="E572" s="136" t="s">
        <v>27</v>
      </c>
      <c r="F572" s="136" t="s">
        <v>44</v>
      </c>
      <c r="G572" s="136" t="s">
        <v>148</v>
      </c>
      <c r="H572" s="136" t="s">
        <v>213</v>
      </c>
      <c r="I572" s="137" t="s">
        <v>95</v>
      </c>
      <c r="J572" s="138">
        <v>500000</v>
      </c>
      <c r="K572" s="138"/>
      <c r="L572" s="138"/>
    </row>
    <row r="573" spans="1:12" s="147" customFormat="1" ht="38.25">
      <c r="A573" s="149" t="s">
        <v>292</v>
      </c>
      <c r="B573" s="148" t="s">
        <v>403</v>
      </c>
      <c r="C573" s="148" t="s">
        <v>18</v>
      </c>
      <c r="D573" s="148" t="s">
        <v>17</v>
      </c>
      <c r="E573" s="148" t="s">
        <v>357</v>
      </c>
      <c r="F573" s="148" t="s">
        <v>70</v>
      </c>
      <c r="G573" s="148" t="s">
        <v>148</v>
      </c>
      <c r="H573" s="148" t="s">
        <v>149</v>
      </c>
      <c r="I573" s="146"/>
      <c r="J573" s="159">
        <f t="shared" ref="J573:L575" si="232">J574</f>
        <v>353900</v>
      </c>
      <c r="K573" s="159">
        <f t="shared" si="232"/>
        <v>0</v>
      </c>
      <c r="L573" s="159">
        <f t="shared" si="232"/>
        <v>0</v>
      </c>
    </row>
    <row r="574" spans="1:12" s="147" customFormat="1">
      <c r="A574" s="156" t="s">
        <v>376</v>
      </c>
      <c r="B574" s="148" t="s">
        <v>403</v>
      </c>
      <c r="C574" s="148" t="s">
        <v>18</v>
      </c>
      <c r="D574" s="148" t="s">
        <v>17</v>
      </c>
      <c r="E574" s="148" t="s">
        <v>357</v>
      </c>
      <c r="F574" s="148" t="s">
        <v>70</v>
      </c>
      <c r="G574" s="148" t="s">
        <v>148</v>
      </c>
      <c r="H574" s="148" t="s">
        <v>225</v>
      </c>
      <c r="I574" s="146"/>
      <c r="J574" s="159">
        <f t="shared" si="232"/>
        <v>353900</v>
      </c>
      <c r="K574" s="159">
        <f t="shared" si="232"/>
        <v>0</v>
      </c>
      <c r="L574" s="159">
        <f t="shared" si="232"/>
        <v>0</v>
      </c>
    </row>
    <row r="575" spans="1:12" s="147" customFormat="1" ht="25.5">
      <c r="A575" s="150" t="s">
        <v>120</v>
      </c>
      <c r="B575" s="148" t="s">
        <v>403</v>
      </c>
      <c r="C575" s="148" t="s">
        <v>18</v>
      </c>
      <c r="D575" s="148" t="s">
        <v>17</v>
      </c>
      <c r="E575" s="148" t="s">
        <v>357</v>
      </c>
      <c r="F575" s="148" t="s">
        <v>70</v>
      </c>
      <c r="G575" s="148" t="s">
        <v>148</v>
      </c>
      <c r="H575" s="148" t="s">
        <v>225</v>
      </c>
      <c r="I575" s="146" t="s">
        <v>118</v>
      </c>
      <c r="J575" s="159">
        <f t="shared" si="232"/>
        <v>353900</v>
      </c>
      <c r="K575" s="159">
        <f t="shared" si="232"/>
        <v>0</v>
      </c>
      <c r="L575" s="159">
        <f t="shared" si="232"/>
        <v>0</v>
      </c>
    </row>
    <row r="576" spans="1:12" s="147" customFormat="1">
      <c r="A576" s="150" t="s">
        <v>121</v>
      </c>
      <c r="B576" s="148" t="s">
        <v>403</v>
      </c>
      <c r="C576" s="148" t="s">
        <v>18</v>
      </c>
      <c r="D576" s="148" t="s">
        <v>17</v>
      </c>
      <c r="E576" s="148" t="s">
        <v>357</v>
      </c>
      <c r="F576" s="148" t="s">
        <v>70</v>
      </c>
      <c r="G576" s="148" t="s">
        <v>148</v>
      </c>
      <c r="H576" s="148" t="s">
        <v>225</v>
      </c>
      <c r="I576" s="146" t="s">
        <v>119</v>
      </c>
      <c r="J576" s="159">
        <v>353900</v>
      </c>
      <c r="K576" s="159"/>
      <c r="L576" s="159"/>
    </row>
    <row r="577" spans="1:12" s="147" customFormat="1">
      <c r="A577" s="9" t="s">
        <v>83</v>
      </c>
      <c r="B577" s="148" t="s">
        <v>403</v>
      </c>
      <c r="C577" s="148" t="s">
        <v>18</v>
      </c>
      <c r="D577" s="148" t="s">
        <v>17</v>
      </c>
      <c r="E577" s="148" t="s">
        <v>82</v>
      </c>
      <c r="F577" s="148" t="s">
        <v>70</v>
      </c>
      <c r="G577" s="148" t="s">
        <v>148</v>
      </c>
      <c r="H577" s="148" t="s">
        <v>149</v>
      </c>
      <c r="I577" s="146"/>
      <c r="J577" s="159">
        <f>J578+J581</f>
        <v>6992283</v>
      </c>
      <c r="K577" s="159">
        <f t="shared" ref="K577:L577" si="233">K578+K581</f>
        <v>7198522.4499999993</v>
      </c>
      <c r="L577" s="159">
        <f t="shared" si="233"/>
        <v>7412302.0999999996</v>
      </c>
    </row>
    <row r="578" spans="1:12" s="147" customFormat="1">
      <c r="A578" s="149" t="s">
        <v>346</v>
      </c>
      <c r="B578" s="148" t="s">
        <v>403</v>
      </c>
      <c r="C578" s="148" t="s">
        <v>18</v>
      </c>
      <c r="D578" s="148" t="s">
        <v>17</v>
      </c>
      <c r="E578" s="148" t="s">
        <v>82</v>
      </c>
      <c r="F578" s="148" t="s">
        <v>70</v>
      </c>
      <c r="G578" s="148" t="s">
        <v>148</v>
      </c>
      <c r="H578" s="148" t="s">
        <v>345</v>
      </c>
      <c r="I578" s="146"/>
      <c r="J578" s="159">
        <f>J579</f>
        <v>5524518</v>
      </c>
      <c r="K578" s="159">
        <f t="shared" ref="K578:L579" si="234">K579</f>
        <v>5675926.8499999996</v>
      </c>
      <c r="L578" s="159">
        <f t="shared" si="234"/>
        <v>5832682.6799999997</v>
      </c>
    </row>
    <row r="579" spans="1:12" s="147" customFormat="1" ht="25.5">
      <c r="A579" s="150" t="s">
        <v>72</v>
      </c>
      <c r="B579" s="148" t="s">
        <v>403</v>
      </c>
      <c r="C579" s="148" t="s">
        <v>18</v>
      </c>
      <c r="D579" s="148" t="s">
        <v>17</v>
      </c>
      <c r="E579" s="148" t="s">
        <v>82</v>
      </c>
      <c r="F579" s="148" t="s">
        <v>70</v>
      </c>
      <c r="G579" s="148" t="s">
        <v>148</v>
      </c>
      <c r="H579" s="148" t="s">
        <v>345</v>
      </c>
      <c r="I579" s="146" t="s">
        <v>71</v>
      </c>
      <c r="J579" s="159">
        <f>J580</f>
        <v>5524518</v>
      </c>
      <c r="K579" s="159">
        <f t="shared" si="234"/>
        <v>5675926.8499999996</v>
      </c>
      <c r="L579" s="159">
        <f t="shared" si="234"/>
        <v>5832682.6799999997</v>
      </c>
    </row>
    <row r="580" spans="1:12" s="147" customFormat="1">
      <c r="A580" s="149" t="s">
        <v>249</v>
      </c>
      <c r="B580" s="148" t="s">
        <v>403</v>
      </c>
      <c r="C580" s="148" t="s">
        <v>18</v>
      </c>
      <c r="D580" s="148" t="s">
        <v>17</v>
      </c>
      <c r="E580" s="148" t="s">
        <v>82</v>
      </c>
      <c r="F580" s="148" t="s">
        <v>70</v>
      </c>
      <c r="G580" s="148" t="s">
        <v>148</v>
      </c>
      <c r="H580" s="148" t="s">
        <v>345</v>
      </c>
      <c r="I580" s="146" t="s">
        <v>246</v>
      </c>
      <c r="J580" s="159">
        <v>5524518</v>
      </c>
      <c r="K580" s="159">
        <v>5675926.8499999996</v>
      </c>
      <c r="L580" s="159">
        <v>5832682.6799999997</v>
      </c>
    </row>
    <row r="581" spans="1:12" s="147" customFormat="1">
      <c r="A581" s="150" t="s">
        <v>359</v>
      </c>
      <c r="B581" s="148" t="s">
        <v>403</v>
      </c>
      <c r="C581" s="148" t="s">
        <v>18</v>
      </c>
      <c r="D581" s="148" t="s">
        <v>17</v>
      </c>
      <c r="E581" s="148" t="s">
        <v>82</v>
      </c>
      <c r="F581" s="148" t="s">
        <v>70</v>
      </c>
      <c r="G581" s="148" t="s">
        <v>148</v>
      </c>
      <c r="H581" s="148" t="s">
        <v>358</v>
      </c>
      <c r="I581" s="146"/>
      <c r="J581" s="159">
        <f>J582</f>
        <v>1467765</v>
      </c>
      <c r="K581" s="159">
        <f t="shared" ref="K581:L582" si="235">K582</f>
        <v>1522595.6</v>
      </c>
      <c r="L581" s="159">
        <f t="shared" si="235"/>
        <v>1579619.42</v>
      </c>
    </row>
    <row r="582" spans="1:12" s="147" customFormat="1" ht="25.5">
      <c r="A582" s="157" t="s">
        <v>260</v>
      </c>
      <c r="B582" s="148" t="s">
        <v>403</v>
      </c>
      <c r="C582" s="148" t="s">
        <v>18</v>
      </c>
      <c r="D582" s="148" t="s">
        <v>17</v>
      </c>
      <c r="E582" s="148" t="s">
        <v>82</v>
      </c>
      <c r="F582" s="148" t="s">
        <v>70</v>
      </c>
      <c r="G582" s="148" t="s">
        <v>148</v>
      </c>
      <c r="H582" s="148" t="s">
        <v>358</v>
      </c>
      <c r="I582" s="146" t="s">
        <v>94</v>
      </c>
      <c r="J582" s="159">
        <f>J583</f>
        <v>1467765</v>
      </c>
      <c r="K582" s="159">
        <f t="shared" si="235"/>
        <v>1522595.6</v>
      </c>
      <c r="L582" s="159">
        <f t="shared" si="235"/>
        <v>1579619.42</v>
      </c>
    </row>
    <row r="583" spans="1:12" s="147" customFormat="1" ht="25.5">
      <c r="A583" s="156" t="s">
        <v>98</v>
      </c>
      <c r="B583" s="148" t="s">
        <v>403</v>
      </c>
      <c r="C583" s="148" t="s">
        <v>18</v>
      </c>
      <c r="D583" s="148" t="s">
        <v>17</v>
      </c>
      <c r="E583" s="148" t="s">
        <v>82</v>
      </c>
      <c r="F583" s="148" t="s">
        <v>70</v>
      </c>
      <c r="G583" s="148" t="s">
        <v>148</v>
      </c>
      <c r="H583" s="148" t="s">
        <v>358</v>
      </c>
      <c r="I583" s="146" t="s">
        <v>95</v>
      </c>
      <c r="J583" s="159">
        <f>682500+785265</f>
        <v>1467765</v>
      </c>
      <c r="K583" s="159">
        <f>709800+812795.6</f>
        <v>1522595.6</v>
      </c>
      <c r="L583" s="159">
        <f>738192+841427.42</f>
        <v>1579619.42</v>
      </c>
    </row>
    <row r="584" spans="1:12" s="147" customFormat="1">
      <c r="A584" s="150"/>
      <c r="B584" s="148"/>
      <c r="C584" s="148"/>
      <c r="D584" s="148"/>
      <c r="E584" s="148"/>
      <c r="F584" s="148"/>
      <c r="G584" s="148"/>
      <c r="H584" s="148"/>
      <c r="I584" s="146"/>
      <c r="J584" s="159"/>
      <c r="K584" s="159"/>
      <c r="L584" s="159"/>
    </row>
    <row r="585" spans="1:12" s="165" customFormat="1">
      <c r="A585" s="64" t="s">
        <v>68</v>
      </c>
      <c r="B585" s="14" t="s">
        <v>403</v>
      </c>
      <c r="C585" s="14" t="s">
        <v>18</v>
      </c>
      <c r="D585" s="14" t="s">
        <v>13</v>
      </c>
      <c r="E585" s="14"/>
      <c r="F585" s="14"/>
      <c r="G585" s="14"/>
      <c r="H585" s="14"/>
      <c r="I585" s="30"/>
      <c r="J585" s="116">
        <f>J586+J594+J590</f>
        <v>25777502</v>
      </c>
      <c r="K585" s="116">
        <f>K586+K594+K590</f>
        <v>18626702.130000003</v>
      </c>
      <c r="L585" s="116">
        <f>L586+L594+L590</f>
        <v>18339840.830000002</v>
      </c>
    </row>
    <row r="586" spans="1:12" s="147" customFormat="1" ht="38.25">
      <c r="A586" s="128" t="s">
        <v>286</v>
      </c>
      <c r="B586" s="148" t="s">
        <v>403</v>
      </c>
      <c r="C586" s="148" t="s">
        <v>18</v>
      </c>
      <c r="D586" s="148" t="s">
        <v>13</v>
      </c>
      <c r="E586" s="148" t="s">
        <v>3</v>
      </c>
      <c r="F586" s="148" t="s">
        <v>70</v>
      </c>
      <c r="G586" s="148" t="s">
        <v>148</v>
      </c>
      <c r="H586" s="148" t="s">
        <v>149</v>
      </c>
      <c r="I586" s="146"/>
      <c r="J586" s="159">
        <f>J587</f>
        <v>7116000</v>
      </c>
      <c r="K586" s="159">
        <f t="shared" ref="K586:L588" si="236">K587</f>
        <v>0</v>
      </c>
      <c r="L586" s="159">
        <f t="shared" si="236"/>
        <v>0</v>
      </c>
    </row>
    <row r="587" spans="1:12" s="147" customFormat="1" ht="25.5">
      <c r="A587" s="150" t="s">
        <v>312</v>
      </c>
      <c r="B587" s="148" t="s">
        <v>403</v>
      </c>
      <c r="C587" s="148" t="s">
        <v>18</v>
      </c>
      <c r="D587" s="148" t="s">
        <v>13</v>
      </c>
      <c r="E587" s="148" t="s">
        <v>3</v>
      </c>
      <c r="F587" s="148" t="s">
        <v>70</v>
      </c>
      <c r="G587" s="148" t="s">
        <v>148</v>
      </c>
      <c r="H587" s="148" t="s">
        <v>311</v>
      </c>
      <c r="I587" s="146"/>
      <c r="J587" s="159">
        <f>J588</f>
        <v>7116000</v>
      </c>
      <c r="K587" s="159">
        <f t="shared" si="236"/>
        <v>0</v>
      </c>
      <c r="L587" s="159">
        <f t="shared" si="236"/>
        <v>0</v>
      </c>
    </row>
    <row r="588" spans="1:12" s="147" customFormat="1" ht="25.5">
      <c r="A588" s="157" t="s">
        <v>260</v>
      </c>
      <c r="B588" s="148" t="s">
        <v>403</v>
      </c>
      <c r="C588" s="148" t="s">
        <v>18</v>
      </c>
      <c r="D588" s="148" t="s">
        <v>13</v>
      </c>
      <c r="E588" s="148" t="s">
        <v>3</v>
      </c>
      <c r="F588" s="148" t="s">
        <v>70</v>
      </c>
      <c r="G588" s="148" t="s">
        <v>148</v>
      </c>
      <c r="H588" s="148" t="s">
        <v>311</v>
      </c>
      <c r="I588" s="146" t="s">
        <v>94</v>
      </c>
      <c r="J588" s="159">
        <f>J589</f>
        <v>7116000</v>
      </c>
      <c r="K588" s="159">
        <f t="shared" si="236"/>
        <v>0</v>
      </c>
      <c r="L588" s="159">
        <f t="shared" si="236"/>
        <v>0</v>
      </c>
    </row>
    <row r="589" spans="1:12" s="147" customFormat="1" ht="25.5">
      <c r="A589" s="156" t="s">
        <v>98</v>
      </c>
      <c r="B589" s="148" t="s">
        <v>403</v>
      </c>
      <c r="C589" s="148" t="s">
        <v>18</v>
      </c>
      <c r="D589" s="148" t="s">
        <v>13</v>
      </c>
      <c r="E589" s="148" t="s">
        <v>3</v>
      </c>
      <c r="F589" s="148" t="s">
        <v>70</v>
      </c>
      <c r="G589" s="148" t="s">
        <v>148</v>
      </c>
      <c r="H589" s="148" t="s">
        <v>311</v>
      </c>
      <c r="I589" s="146" t="s">
        <v>95</v>
      </c>
      <c r="J589" s="159">
        <v>7116000</v>
      </c>
      <c r="K589" s="159"/>
      <c r="L589" s="159"/>
    </row>
    <row r="590" spans="1:12" s="147" customFormat="1" ht="38.25">
      <c r="A590" s="156" t="s">
        <v>365</v>
      </c>
      <c r="B590" s="148" t="s">
        <v>403</v>
      </c>
      <c r="C590" s="148" t="s">
        <v>18</v>
      </c>
      <c r="D590" s="148" t="s">
        <v>13</v>
      </c>
      <c r="E590" s="148" t="s">
        <v>363</v>
      </c>
      <c r="F590" s="148" t="s">
        <v>70</v>
      </c>
      <c r="G590" s="148" t="s">
        <v>148</v>
      </c>
      <c r="H590" s="148" t="s">
        <v>149</v>
      </c>
      <c r="I590" s="146"/>
      <c r="J590" s="159">
        <f>J591</f>
        <v>490983</v>
      </c>
      <c r="K590" s="159">
        <f t="shared" ref="K590:L592" si="237">K591</f>
        <v>252499</v>
      </c>
      <c r="L590" s="159">
        <f t="shared" si="237"/>
        <v>252499</v>
      </c>
    </row>
    <row r="591" spans="1:12" s="147" customFormat="1" ht="25.5">
      <c r="A591" s="156" t="s">
        <v>366</v>
      </c>
      <c r="B591" s="148" t="s">
        <v>403</v>
      </c>
      <c r="C591" s="148" t="s">
        <v>18</v>
      </c>
      <c r="D591" s="148" t="s">
        <v>13</v>
      </c>
      <c r="E591" s="148" t="s">
        <v>363</v>
      </c>
      <c r="F591" s="148" t="s">
        <v>70</v>
      </c>
      <c r="G591" s="148" t="s">
        <v>148</v>
      </c>
      <c r="H591" s="148" t="s">
        <v>364</v>
      </c>
      <c r="I591" s="146"/>
      <c r="J591" s="159">
        <f>J592</f>
        <v>490983</v>
      </c>
      <c r="K591" s="159">
        <f t="shared" si="237"/>
        <v>252499</v>
      </c>
      <c r="L591" s="159">
        <f t="shared" si="237"/>
        <v>252499</v>
      </c>
    </row>
    <row r="592" spans="1:12" s="147" customFormat="1" ht="25.5">
      <c r="A592" s="157" t="s">
        <v>260</v>
      </c>
      <c r="B592" s="148" t="s">
        <v>403</v>
      </c>
      <c r="C592" s="148" t="s">
        <v>18</v>
      </c>
      <c r="D592" s="148" t="s">
        <v>13</v>
      </c>
      <c r="E592" s="148" t="s">
        <v>363</v>
      </c>
      <c r="F592" s="148" t="s">
        <v>70</v>
      </c>
      <c r="G592" s="148" t="s">
        <v>148</v>
      </c>
      <c r="H592" s="148" t="s">
        <v>364</v>
      </c>
      <c r="I592" s="146" t="s">
        <v>94</v>
      </c>
      <c r="J592" s="159">
        <f>J593</f>
        <v>490983</v>
      </c>
      <c r="K592" s="159">
        <f t="shared" si="237"/>
        <v>252499</v>
      </c>
      <c r="L592" s="159">
        <f t="shared" si="237"/>
        <v>252499</v>
      </c>
    </row>
    <row r="593" spans="1:12" s="147" customFormat="1" ht="25.5">
      <c r="A593" s="156" t="s">
        <v>98</v>
      </c>
      <c r="B593" s="148" t="s">
        <v>403</v>
      </c>
      <c r="C593" s="148" t="s">
        <v>18</v>
      </c>
      <c r="D593" s="148" t="s">
        <v>13</v>
      </c>
      <c r="E593" s="148" t="s">
        <v>363</v>
      </c>
      <c r="F593" s="148" t="s">
        <v>70</v>
      </c>
      <c r="G593" s="148" t="s">
        <v>148</v>
      </c>
      <c r="H593" s="148" t="s">
        <v>364</v>
      </c>
      <c r="I593" s="146" t="s">
        <v>95</v>
      </c>
      <c r="J593" s="159">
        <v>490983</v>
      </c>
      <c r="K593" s="159">
        <v>252499</v>
      </c>
      <c r="L593" s="159">
        <v>252499</v>
      </c>
    </row>
    <row r="594" spans="1:12" s="147" customFormat="1">
      <c r="A594" s="9" t="s">
        <v>83</v>
      </c>
      <c r="B594" s="148" t="s">
        <v>403</v>
      </c>
      <c r="C594" s="148" t="s">
        <v>18</v>
      </c>
      <c r="D594" s="148" t="s">
        <v>13</v>
      </c>
      <c r="E594" s="148" t="s">
        <v>82</v>
      </c>
      <c r="F594" s="148" t="s">
        <v>70</v>
      </c>
      <c r="G594" s="148" t="s">
        <v>148</v>
      </c>
      <c r="H594" s="148" t="s">
        <v>149</v>
      </c>
      <c r="I594" s="146"/>
      <c r="J594" s="159">
        <f>J601+J598+J595</f>
        <v>18170519</v>
      </c>
      <c r="K594" s="159">
        <f t="shared" ref="K594:L594" si="238">K601+K598+K595</f>
        <v>18374203.130000003</v>
      </c>
      <c r="L594" s="159">
        <f t="shared" si="238"/>
        <v>18087341.830000002</v>
      </c>
    </row>
    <row r="595" spans="1:12" s="147" customFormat="1">
      <c r="A595" s="149" t="s">
        <v>346</v>
      </c>
      <c r="B595" s="148" t="s">
        <v>403</v>
      </c>
      <c r="C595" s="148" t="s">
        <v>18</v>
      </c>
      <c r="D595" s="148" t="s">
        <v>13</v>
      </c>
      <c r="E595" s="148" t="s">
        <v>82</v>
      </c>
      <c r="F595" s="148" t="s">
        <v>70</v>
      </c>
      <c r="G595" s="148" t="s">
        <v>148</v>
      </c>
      <c r="H595" s="148" t="s">
        <v>345</v>
      </c>
      <c r="I595" s="146"/>
      <c r="J595" s="159">
        <f>J596</f>
        <v>750600</v>
      </c>
      <c r="K595" s="159">
        <f t="shared" ref="K595:L596" si="239">K596</f>
        <v>758109.03</v>
      </c>
      <c r="L595" s="159">
        <f t="shared" si="239"/>
        <v>765690.12</v>
      </c>
    </row>
    <row r="596" spans="1:12" s="147" customFormat="1" ht="25.5">
      <c r="A596" s="150" t="s">
        <v>72</v>
      </c>
      <c r="B596" s="148" t="s">
        <v>403</v>
      </c>
      <c r="C596" s="148" t="s">
        <v>18</v>
      </c>
      <c r="D596" s="148" t="s">
        <v>13</v>
      </c>
      <c r="E596" s="148" t="s">
        <v>82</v>
      </c>
      <c r="F596" s="148" t="s">
        <v>70</v>
      </c>
      <c r="G596" s="148" t="s">
        <v>148</v>
      </c>
      <c r="H596" s="148" t="s">
        <v>345</v>
      </c>
      <c r="I596" s="146" t="s">
        <v>71</v>
      </c>
      <c r="J596" s="159">
        <f>J597</f>
        <v>750600</v>
      </c>
      <c r="K596" s="159">
        <f t="shared" si="239"/>
        <v>758109.03</v>
      </c>
      <c r="L596" s="159">
        <f t="shared" si="239"/>
        <v>765690.12</v>
      </c>
    </row>
    <row r="597" spans="1:12" s="147" customFormat="1">
      <c r="A597" s="149" t="s">
        <v>249</v>
      </c>
      <c r="B597" s="148" t="s">
        <v>403</v>
      </c>
      <c r="C597" s="148" t="s">
        <v>18</v>
      </c>
      <c r="D597" s="148" t="s">
        <v>13</v>
      </c>
      <c r="E597" s="148" t="s">
        <v>82</v>
      </c>
      <c r="F597" s="148" t="s">
        <v>70</v>
      </c>
      <c r="G597" s="148" t="s">
        <v>148</v>
      </c>
      <c r="H597" s="148" t="s">
        <v>345</v>
      </c>
      <c r="I597" s="146" t="s">
        <v>246</v>
      </c>
      <c r="J597" s="159">
        <v>750600</v>
      </c>
      <c r="K597" s="159">
        <v>758109.03</v>
      </c>
      <c r="L597" s="159">
        <v>765690.12</v>
      </c>
    </row>
    <row r="598" spans="1:12" s="147" customFormat="1">
      <c r="A598" s="215" t="s">
        <v>362</v>
      </c>
      <c r="B598" s="148" t="s">
        <v>403</v>
      </c>
      <c r="C598" s="148" t="s">
        <v>18</v>
      </c>
      <c r="D598" s="148" t="s">
        <v>13</v>
      </c>
      <c r="E598" s="148" t="s">
        <v>82</v>
      </c>
      <c r="F598" s="148" t="s">
        <v>70</v>
      </c>
      <c r="G598" s="148" t="s">
        <v>148</v>
      </c>
      <c r="H598" s="148" t="s">
        <v>361</v>
      </c>
      <c r="I598" s="146"/>
      <c r="J598" s="159">
        <f>J599</f>
        <v>150000</v>
      </c>
      <c r="K598" s="159">
        <f t="shared" ref="K598:L599" si="240">K599</f>
        <v>150000</v>
      </c>
      <c r="L598" s="159">
        <f t="shared" si="240"/>
        <v>150000</v>
      </c>
    </row>
    <row r="599" spans="1:12" s="147" customFormat="1" ht="25.5">
      <c r="A599" s="157" t="s">
        <v>260</v>
      </c>
      <c r="B599" s="148" t="s">
        <v>403</v>
      </c>
      <c r="C599" s="148" t="s">
        <v>18</v>
      </c>
      <c r="D599" s="148" t="s">
        <v>13</v>
      </c>
      <c r="E599" s="148" t="s">
        <v>82</v>
      </c>
      <c r="F599" s="148" t="s">
        <v>70</v>
      </c>
      <c r="G599" s="148" t="s">
        <v>148</v>
      </c>
      <c r="H599" s="148" t="s">
        <v>361</v>
      </c>
      <c r="I599" s="146" t="s">
        <v>94</v>
      </c>
      <c r="J599" s="159">
        <f>J600</f>
        <v>150000</v>
      </c>
      <c r="K599" s="159">
        <f t="shared" si="240"/>
        <v>150000</v>
      </c>
      <c r="L599" s="159">
        <f t="shared" si="240"/>
        <v>150000</v>
      </c>
    </row>
    <row r="600" spans="1:12" s="147" customFormat="1" ht="25.5">
      <c r="A600" s="156" t="s">
        <v>98</v>
      </c>
      <c r="B600" s="148" t="s">
        <v>403</v>
      </c>
      <c r="C600" s="148" t="s">
        <v>18</v>
      </c>
      <c r="D600" s="148" t="s">
        <v>13</v>
      </c>
      <c r="E600" s="148" t="s">
        <v>82</v>
      </c>
      <c r="F600" s="148" t="s">
        <v>70</v>
      </c>
      <c r="G600" s="148" t="s">
        <v>148</v>
      </c>
      <c r="H600" s="148" t="s">
        <v>361</v>
      </c>
      <c r="I600" s="146" t="s">
        <v>95</v>
      </c>
      <c r="J600" s="159">
        <v>150000</v>
      </c>
      <c r="K600" s="159">
        <v>150000</v>
      </c>
      <c r="L600" s="159">
        <v>150000</v>
      </c>
    </row>
    <row r="601" spans="1:12" s="147" customFormat="1">
      <c r="A601" s="156" t="s">
        <v>367</v>
      </c>
      <c r="B601" s="148" t="s">
        <v>403</v>
      </c>
      <c r="C601" s="148" t="s">
        <v>18</v>
      </c>
      <c r="D601" s="148" t="s">
        <v>13</v>
      </c>
      <c r="E601" s="148" t="s">
        <v>82</v>
      </c>
      <c r="F601" s="148" t="s">
        <v>70</v>
      </c>
      <c r="G601" s="148" t="s">
        <v>148</v>
      </c>
      <c r="H601" s="148" t="s">
        <v>360</v>
      </c>
      <c r="I601" s="146"/>
      <c r="J601" s="159">
        <f>J602+J604+J606</f>
        <v>17269919</v>
      </c>
      <c r="K601" s="159">
        <f t="shared" ref="K601:L601" si="241">K602+K604+K606</f>
        <v>17466094.100000001</v>
      </c>
      <c r="L601" s="159">
        <f t="shared" si="241"/>
        <v>17171651.710000001</v>
      </c>
    </row>
    <row r="602" spans="1:12" s="147" customFormat="1" ht="38.25">
      <c r="A602" s="156" t="s">
        <v>96</v>
      </c>
      <c r="B602" s="148" t="s">
        <v>403</v>
      </c>
      <c r="C602" s="148" t="s">
        <v>18</v>
      </c>
      <c r="D602" s="148" t="s">
        <v>13</v>
      </c>
      <c r="E602" s="148" t="s">
        <v>82</v>
      </c>
      <c r="F602" s="148" t="s">
        <v>70</v>
      </c>
      <c r="G602" s="148" t="s">
        <v>148</v>
      </c>
      <c r="H602" s="148" t="s">
        <v>360</v>
      </c>
      <c r="I602" s="146" t="s">
        <v>92</v>
      </c>
      <c r="J602" s="159">
        <f>J603</f>
        <v>8601700</v>
      </c>
      <c r="K602" s="159">
        <f t="shared" ref="K602:L602" si="242">K603</f>
        <v>8683109.2200000007</v>
      </c>
      <c r="L602" s="159">
        <f t="shared" si="242"/>
        <v>8769390.3200000003</v>
      </c>
    </row>
    <row r="603" spans="1:12" s="147" customFormat="1">
      <c r="A603" s="156" t="s">
        <v>97</v>
      </c>
      <c r="B603" s="148" t="s">
        <v>403</v>
      </c>
      <c r="C603" s="148" t="s">
        <v>18</v>
      </c>
      <c r="D603" s="148" t="s">
        <v>13</v>
      </c>
      <c r="E603" s="148" t="s">
        <v>82</v>
      </c>
      <c r="F603" s="148" t="s">
        <v>70</v>
      </c>
      <c r="G603" s="148" t="s">
        <v>148</v>
      </c>
      <c r="H603" s="148" t="s">
        <v>360</v>
      </c>
      <c r="I603" s="146" t="s">
        <v>93</v>
      </c>
      <c r="J603" s="159">
        <v>8601700</v>
      </c>
      <c r="K603" s="159">
        <v>8683109.2200000007</v>
      </c>
      <c r="L603" s="159">
        <v>8769390.3200000003</v>
      </c>
    </row>
    <row r="604" spans="1:12" s="147" customFormat="1" ht="25.5">
      <c r="A604" s="157" t="s">
        <v>260</v>
      </c>
      <c r="B604" s="148" t="s">
        <v>403</v>
      </c>
      <c r="C604" s="148" t="s">
        <v>18</v>
      </c>
      <c r="D604" s="148" t="s">
        <v>13</v>
      </c>
      <c r="E604" s="148" t="s">
        <v>82</v>
      </c>
      <c r="F604" s="148" t="s">
        <v>70</v>
      </c>
      <c r="G604" s="148" t="s">
        <v>148</v>
      </c>
      <c r="H604" s="148" t="s">
        <v>360</v>
      </c>
      <c r="I604" s="146" t="s">
        <v>94</v>
      </c>
      <c r="J604" s="159">
        <f>J605</f>
        <v>8645219</v>
      </c>
      <c r="K604" s="159">
        <f t="shared" ref="K604:L604" si="243">K605</f>
        <v>8759984.879999999</v>
      </c>
      <c r="L604" s="159">
        <f t="shared" si="243"/>
        <v>8379261.3900000006</v>
      </c>
    </row>
    <row r="605" spans="1:12" s="147" customFormat="1" ht="25.5">
      <c r="A605" s="156" t="s">
        <v>98</v>
      </c>
      <c r="B605" s="148" t="s">
        <v>403</v>
      </c>
      <c r="C605" s="148" t="s">
        <v>18</v>
      </c>
      <c r="D605" s="148" t="s">
        <v>13</v>
      </c>
      <c r="E605" s="148" t="s">
        <v>82</v>
      </c>
      <c r="F605" s="148" t="s">
        <v>70</v>
      </c>
      <c r="G605" s="148" t="s">
        <v>148</v>
      </c>
      <c r="H605" s="148" t="s">
        <v>360</v>
      </c>
      <c r="I605" s="146" t="s">
        <v>95</v>
      </c>
      <c r="J605" s="159">
        <f>1349695+1926625+5368899</f>
        <v>8645219</v>
      </c>
      <c r="K605" s="159">
        <f>1394482.8+1896847.12+5468654.96</f>
        <v>8759984.879999999</v>
      </c>
      <c r="L605" s="159">
        <f>1441062.11+1915798.12+5022401.16</f>
        <v>8379261.3900000006</v>
      </c>
    </row>
    <row r="606" spans="1:12" s="147" customFormat="1">
      <c r="A606" s="156" t="s">
        <v>80</v>
      </c>
      <c r="B606" s="148" t="s">
        <v>403</v>
      </c>
      <c r="C606" s="148" t="s">
        <v>18</v>
      </c>
      <c r="D606" s="148" t="s">
        <v>13</v>
      </c>
      <c r="E606" s="148" t="s">
        <v>82</v>
      </c>
      <c r="F606" s="148" t="s">
        <v>70</v>
      </c>
      <c r="G606" s="148" t="s">
        <v>148</v>
      </c>
      <c r="H606" s="148" t="s">
        <v>360</v>
      </c>
      <c r="I606" s="146" t="s">
        <v>77</v>
      </c>
      <c r="J606" s="159">
        <f>J607</f>
        <v>23000</v>
      </c>
      <c r="K606" s="159">
        <f t="shared" ref="K606:L606" si="244">K607</f>
        <v>23000</v>
      </c>
      <c r="L606" s="159">
        <f t="shared" si="244"/>
        <v>23000</v>
      </c>
    </row>
    <row r="607" spans="1:12" s="147" customFormat="1">
      <c r="A607" s="158" t="s">
        <v>125</v>
      </c>
      <c r="B607" s="148" t="s">
        <v>403</v>
      </c>
      <c r="C607" s="148" t="s">
        <v>18</v>
      </c>
      <c r="D607" s="148" t="s">
        <v>13</v>
      </c>
      <c r="E607" s="148" t="s">
        <v>82</v>
      </c>
      <c r="F607" s="148" t="s">
        <v>70</v>
      </c>
      <c r="G607" s="148" t="s">
        <v>148</v>
      </c>
      <c r="H607" s="148" t="s">
        <v>360</v>
      </c>
      <c r="I607" s="146" t="s">
        <v>124</v>
      </c>
      <c r="J607" s="159">
        <v>23000</v>
      </c>
      <c r="K607" s="159">
        <v>23000</v>
      </c>
      <c r="L607" s="159">
        <v>23000</v>
      </c>
    </row>
    <row r="608" spans="1:12" s="147" customFormat="1">
      <c r="A608" s="156"/>
      <c r="B608" s="148"/>
      <c r="C608" s="148"/>
      <c r="D608" s="148"/>
      <c r="E608" s="148"/>
      <c r="F608" s="148"/>
      <c r="G608" s="148"/>
      <c r="H608" s="148"/>
      <c r="I608" s="146"/>
      <c r="J608" s="159"/>
      <c r="K608" s="159"/>
      <c r="L608" s="159"/>
    </row>
    <row r="609" spans="1:12" ht="15.75">
      <c r="A609" s="26" t="s">
        <v>65</v>
      </c>
      <c r="B609" s="31" t="s">
        <v>403</v>
      </c>
      <c r="C609" s="31" t="s">
        <v>3</v>
      </c>
      <c r="D609" s="31"/>
      <c r="E609" s="31"/>
      <c r="F609" s="31"/>
      <c r="G609" s="31"/>
      <c r="H609" s="31"/>
      <c r="I609" s="34"/>
      <c r="J609" s="115">
        <f t="shared" ref="J609:L610" si="245">J610</f>
        <v>10869000</v>
      </c>
      <c r="K609" s="115">
        <f t="shared" si="245"/>
        <v>10869000</v>
      </c>
      <c r="L609" s="115">
        <f t="shared" si="245"/>
        <v>10869000</v>
      </c>
    </row>
    <row r="610" spans="1:12">
      <c r="A610" s="4" t="s">
        <v>217</v>
      </c>
      <c r="B610" s="15" t="s">
        <v>403</v>
      </c>
      <c r="C610" s="15" t="s">
        <v>3</v>
      </c>
      <c r="D610" s="15" t="s">
        <v>18</v>
      </c>
      <c r="E610" s="15"/>
      <c r="F610" s="15"/>
      <c r="G610" s="15"/>
      <c r="H610" s="15"/>
      <c r="I610" s="28"/>
      <c r="J610" s="116">
        <f t="shared" si="245"/>
        <v>10869000</v>
      </c>
      <c r="K610" s="116">
        <f t="shared" si="245"/>
        <v>10869000</v>
      </c>
      <c r="L610" s="116">
        <f t="shared" si="245"/>
        <v>10869000</v>
      </c>
    </row>
    <row r="611" spans="1:12" s="147" customFormat="1" ht="38.25">
      <c r="A611" s="149" t="s">
        <v>292</v>
      </c>
      <c r="B611" s="1" t="s">
        <v>403</v>
      </c>
      <c r="C611" s="1" t="s">
        <v>3</v>
      </c>
      <c r="D611" s="1" t="s">
        <v>18</v>
      </c>
      <c r="E611" s="1" t="s">
        <v>357</v>
      </c>
      <c r="F611" s="1" t="s">
        <v>70</v>
      </c>
      <c r="G611" s="1" t="s">
        <v>148</v>
      </c>
      <c r="H611" s="1" t="s">
        <v>149</v>
      </c>
      <c r="I611" s="13"/>
      <c r="J611" s="87">
        <f>+J615+J612+J618</f>
        <v>10869000</v>
      </c>
      <c r="K611" s="159">
        <f t="shared" ref="K611:L611" si="246">+K615+K612+K618</f>
        <v>10869000</v>
      </c>
      <c r="L611" s="159">
        <f t="shared" si="246"/>
        <v>10869000</v>
      </c>
    </row>
    <row r="612" spans="1:12" s="147" customFormat="1" ht="25.5">
      <c r="A612" s="156" t="s">
        <v>373</v>
      </c>
      <c r="B612" s="148" t="s">
        <v>403</v>
      </c>
      <c r="C612" s="148" t="s">
        <v>3</v>
      </c>
      <c r="D612" s="148" t="s">
        <v>18</v>
      </c>
      <c r="E612" s="148" t="s">
        <v>357</v>
      </c>
      <c r="F612" s="148" t="s">
        <v>70</v>
      </c>
      <c r="G612" s="148" t="s">
        <v>148</v>
      </c>
      <c r="H612" s="148" t="s">
        <v>372</v>
      </c>
      <c r="I612" s="146"/>
      <c r="J612" s="159">
        <f>J613</f>
        <v>5869000</v>
      </c>
      <c r="K612" s="159">
        <f t="shared" ref="K612:L613" si="247">K613</f>
        <v>8469000</v>
      </c>
      <c r="L612" s="159">
        <f t="shared" si="247"/>
        <v>9219000</v>
      </c>
    </row>
    <row r="613" spans="1:12" s="147" customFormat="1" ht="25.5">
      <c r="A613" s="157" t="s">
        <v>260</v>
      </c>
      <c r="B613" s="148" t="s">
        <v>403</v>
      </c>
      <c r="C613" s="148" t="s">
        <v>3</v>
      </c>
      <c r="D613" s="148" t="s">
        <v>18</v>
      </c>
      <c r="E613" s="148" t="s">
        <v>357</v>
      </c>
      <c r="F613" s="148" t="s">
        <v>70</v>
      </c>
      <c r="G613" s="148" t="s">
        <v>148</v>
      </c>
      <c r="H613" s="148" t="s">
        <v>372</v>
      </c>
      <c r="I613" s="146" t="s">
        <v>94</v>
      </c>
      <c r="J613" s="159">
        <f>J614</f>
        <v>5869000</v>
      </c>
      <c r="K613" s="159">
        <f t="shared" si="247"/>
        <v>8469000</v>
      </c>
      <c r="L613" s="159">
        <f t="shared" si="247"/>
        <v>9219000</v>
      </c>
    </row>
    <row r="614" spans="1:12" s="147" customFormat="1" ht="25.5">
      <c r="A614" s="156" t="s">
        <v>98</v>
      </c>
      <c r="B614" s="148" t="s">
        <v>403</v>
      </c>
      <c r="C614" s="148" t="s">
        <v>3</v>
      </c>
      <c r="D614" s="148" t="s">
        <v>18</v>
      </c>
      <c r="E614" s="148" t="s">
        <v>357</v>
      </c>
      <c r="F614" s="148" t="s">
        <v>70</v>
      </c>
      <c r="G614" s="148" t="s">
        <v>148</v>
      </c>
      <c r="H614" s="148" t="s">
        <v>372</v>
      </c>
      <c r="I614" s="146" t="s">
        <v>95</v>
      </c>
      <c r="J614" s="159">
        <v>5869000</v>
      </c>
      <c r="K614" s="159">
        <v>8469000</v>
      </c>
      <c r="L614" s="159">
        <v>9219000</v>
      </c>
    </row>
    <row r="615" spans="1:12" s="147" customFormat="1" ht="18.75" customHeight="1">
      <c r="A615" s="156" t="s">
        <v>371</v>
      </c>
      <c r="B615" s="148" t="s">
        <v>403</v>
      </c>
      <c r="C615" s="148" t="s">
        <v>3</v>
      </c>
      <c r="D615" s="148" t="s">
        <v>18</v>
      </c>
      <c r="E615" s="148" t="s">
        <v>357</v>
      </c>
      <c r="F615" s="148" t="s">
        <v>70</v>
      </c>
      <c r="G615" s="148" t="s">
        <v>148</v>
      </c>
      <c r="H615" s="148" t="s">
        <v>370</v>
      </c>
      <c r="I615" s="146"/>
      <c r="J615" s="159">
        <f>J616</f>
        <v>4850000</v>
      </c>
      <c r="K615" s="159">
        <f t="shared" ref="K615:L616" si="248">K616</f>
        <v>2250000</v>
      </c>
      <c r="L615" s="159">
        <f t="shared" si="248"/>
        <v>1500000</v>
      </c>
    </row>
    <row r="616" spans="1:12" s="147" customFormat="1" ht="25.5">
      <c r="A616" s="157" t="s">
        <v>260</v>
      </c>
      <c r="B616" s="148" t="s">
        <v>403</v>
      </c>
      <c r="C616" s="148" t="s">
        <v>3</v>
      </c>
      <c r="D616" s="148" t="s">
        <v>18</v>
      </c>
      <c r="E616" s="148" t="s">
        <v>357</v>
      </c>
      <c r="F616" s="148" t="s">
        <v>70</v>
      </c>
      <c r="G616" s="148" t="s">
        <v>148</v>
      </c>
      <c r="H616" s="148" t="s">
        <v>370</v>
      </c>
      <c r="I616" s="146" t="s">
        <v>94</v>
      </c>
      <c r="J616" s="159">
        <f>J617</f>
        <v>4850000</v>
      </c>
      <c r="K616" s="159">
        <f t="shared" si="248"/>
        <v>2250000</v>
      </c>
      <c r="L616" s="159">
        <f t="shared" si="248"/>
        <v>1500000</v>
      </c>
    </row>
    <row r="617" spans="1:12" s="147" customFormat="1" ht="25.5">
      <c r="A617" s="156" t="s">
        <v>98</v>
      </c>
      <c r="B617" s="148" t="s">
        <v>403</v>
      </c>
      <c r="C617" s="148" t="s">
        <v>3</v>
      </c>
      <c r="D617" s="148" t="s">
        <v>18</v>
      </c>
      <c r="E617" s="148" t="s">
        <v>357</v>
      </c>
      <c r="F617" s="148" t="s">
        <v>70</v>
      </c>
      <c r="G617" s="148" t="s">
        <v>148</v>
      </c>
      <c r="H617" s="148" t="s">
        <v>370</v>
      </c>
      <c r="I617" s="146" t="s">
        <v>95</v>
      </c>
      <c r="J617" s="159">
        <v>4850000</v>
      </c>
      <c r="K617" s="159">
        <v>2250000</v>
      </c>
      <c r="L617" s="159">
        <v>1500000</v>
      </c>
    </row>
    <row r="618" spans="1:12" s="147" customFormat="1">
      <c r="A618" s="156" t="s">
        <v>384</v>
      </c>
      <c r="B618" s="148" t="s">
        <v>403</v>
      </c>
      <c r="C618" s="148" t="s">
        <v>3</v>
      </c>
      <c r="D618" s="148" t="s">
        <v>18</v>
      </c>
      <c r="E618" s="148" t="s">
        <v>357</v>
      </c>
      <c r="F618" s="148" t="s">
        <v>70</v>
      </c>
      <c r="G618" s="148" t="s">
        <v>148</v>
      </c>
      <c r="H618" s="148" t="s">
        <v>383</v>
      </c>
      <c r="I618" s="146"/>
      <c r="J618" s="159">
        <f>J619</f>
        <v>150000</v>
      </c>
      <c r="K618" s="159">
        <f t="shared" ref="K618:L619" si="249">K619</f>
        <v>150000</v>
      </c>
      <c r="L618" s="159">
        <f t="shared" si="249"/>
        <v>150000</v>
      </c>
    </row>
    <row r="619" spans="1:12" s="147" customFormat="1" ht="25.5">
      <c r="A619" s="157" t="s">
        <v>260</v>
      </c>
      <c r="B619" s="148" t="s">
        <v>403</v>
      </c>
      <c r="C619" s="148" t="s">
        <v>3</v>
      </c>
      <c r="D619" s="148" t="s">
        <v>18</v>
      </c>
      <c r="E619" s="148" t="s">
        <v>357</v>
      </c>
      <c r="F619" s="148" t="s">
        <v>70</v>
      </c>
      <c r="G619" s="148" t="s">
        <v>148</v>
      </c>
      <c r="H619" s="148" t="s">
        <v>383</v>
      </c>
      <c r="I619" s="146" t="s">
        <v>94</v>
      </c>
      <c r="J619" s="159">
        <f>J620</f>
        <v>150000</v>
      </c>
      <c r="K619" s="159">
        <f t="shared" si="249"/>
        <v>150000</v>
      </c>
      <c r="L619" s="159">
        <f t="shared" si="249"/>
        <v>150000</v>
      </c>
    </row>
    <row r="620" spans="1:12" s="147" customFormat="1" ht="25.5">
      <c r="A620" s="156" t="s">
        <v>98</v>
      </c>
      <c r="B620" s="148" t="s">
        <v>403</v>
      </c>
      <c r="C620" s="148" t="s">
        <v>3</v>
      </c>
      <c r="D620" s="148" t="s">
        <v>18</v>
      </c>
      <c r="E620" s="148" t="s">
        <v>357</v>
      </c>
      <c r="F620" s="148" t="s">
        <v>70</v>
      </c>
      <c r="G620" s="148" t="s">
        <v>148</v>
      </c>
      <c r="H620" s="148" t="s">
        <v>383</v>
      </c>
      <c r="I620" s="146" t="s">
        <v>95</v>
      </c>
      <c r="J620" s="159">
        <v>150000</v>
      </c>
      <c r="K620" s="159">
        <v>150000</v>
      </c>
      <c r="L620" s="159">
        <v>150000</v>
      </c>
    </row>
    <row r="621" spans="1:12">
      <c r="A621" s="156"/>
      <c r="B621" s="148"/>
      <c r="C621" s="148"/>
      <c r="D621" s="148"/>
      <c r="E621" s="148"/>
      <c r="F621" s="148"/>
      <c r="G621" s="148"/>
      <c r="H621" s="148"/>
      <c r="I621" s="146"/>
      <c r="J621" s="159"/>
      <c r="K621" s="159"/>
      <c r="L621" s="159"/>
    </row>
    <row r="622" spans="1:12" ht="15.75">
      <c r="A622" s="35" t="s">
        <v>128</v>
      </c>
      <c r="B622" s="27" t="s">
        <v>403</v>
      </c>
      <c r="C622" s="27" t="s">
        <v>14</v>
      </c>
      <c r="D622" s="27"/>
      <c r="E622" s="27"/>
      <c r="F622" s="27"/>
      <c r="G622" s="27"/>
      <c r="H622" s="27"/>
      <c r="I622" s="34"/>
      <c r="J622" s="115">
        <f t="shared" ref="J622:L631" si="250">J623</f>
        <v>672500</v>
      </c>
      <c r="K622" s="115">
        <f t="shared" si="250"/>
        <v>172500</v>
      </c>
      <c r="L622" s="115">
        <f t="shared" si="250"/>
        <v>57500</v>
      </c>
    </row>
    <row r="623" spans="1:12" s="147" customFormat="1">
      <c r="A623" s="4" t="s">
        <v>129</v>
      </c>
      <c r="B623" s="14" t="s">
        <v>403</v>
      </c>
      <c r="C623" s="14" t="s">
        <v>14</v>
      </c>
      <c r="D623" s="14" t="s">
        <v>14</v>
      </c>
      <c r="E623" s="14"/>
      <c r="F623" s="14"/>
      <c r="G623" s="14"/>
      <c r="H623" s="14"/>
      <c r="I623" s="28"/>
      <c r="J623" s="116">
        <f>J624+J629</f>
        <v>672500</v>
      </c>
      <c r="K623" s="116">
        <f t="shared" ref="K623:L623" si="251">K624+K629</f>
        <v>172500</v>
      </c>
      <c r="L623" s="116">
        <f t="shared" si="251"/>
        <v>57500</v>
      </c>
    </row>
    <row r="624" spans="1:12" s="147" customFormat="1" ht="38.25">
      <c r="A624" s="149" t="s">
        <v>289</v>
      </c>
      <c r="B624" s="151" t="s">
        <v>403</v>
      </c>
      <c r="C624" s="151" t="s">
        <v>14</v>
      </c>
      <c r="D624" s="151" t="s">
        <v>14</v>
      </c>
      <c r="E624" s="160" t="s">
        <v>27</v>
      </c>
      <c r="F624" s="160" t="s">
        <v>70</v>
      </c>
      <c r="G624" s="160" t="s">
        <v>148</v>
      </c>
      <c r="H624" s="160" t="s">
        <v>149</v>
      </c>
      <c r="I624" s="146"/>
      <c r="J624" s="159">
        <f>J625</f>
        <v>500000</v>
      </c>
      <c r="K624" s="159">
        <f t="shared" ref="K624:L624" si="252">K625</f>
        <v>0</v>
      </c>
      <c r="L624" s="159">
        <f t="shared" si="252"/>
        <v>0</v>
      </c>
    </row>
    <row r="625" spans="1:12" s="147" customFormat="1">
      <c r="A625" s="156" t="s">
        <v>224</v>
      </c>
      <c r="B625" s="151" t="s">
        <v>403</v>
      </c>
      <c r="C625" s="151" t="s">
        <v>14</v>
      </c>
      <c r="D625" s="151" t="s">
        <v>14</v>
      </c>
      <c r="E625" s="160" t="s">
        <v>27</v>
      </c>
      <c r="F625" s="160" t="s">
        <v>44</v>
      </c>
      <c r="G625" s="160" t="s">
        <v>148</v>
      </c>
      <c r="H625" s="160" t="s">
        <v>149</v>
      </c>
      <c r="I625" s="146"/>
      <c r="J625" s="159">
        <f t="shared" ref="J625:L627" si="253">J626</f>
        <v>500000</v>
      </c>
      <c r="K625" s="159">
        <f t="shared" si="253"/>
        <v>0</v>
      </c>
      <c r="L625" s="159">
        <f t="shared" si="253"/>
        <v>0</v>
      </c>
    </row>
    <row r="626" spans="1:12" s="147" customFormat="1" ht="25.5">
      <c r="A626" s="156" t="s">
        <v>212</v>
      </c>
      <c r="B626" s="151" t="s">
        <v>403</v>
      </c>
      <c r="C626" s="151" t="s">
        <v>14</v>
      </c>
      <c r="D626" s="151" t="s">
        <v>14</v>
      </c>
      <c r="E626" s="160" t="s">
        <v>27</v>
      </c>
      <c r="F626" s="160" t="s">
        <v>44</v>
      </c>
      <c r="G626" s="160" t="s">
        <v>148</v>
      </c>
      <c r="H626" s="160" t="s">
        <v>213</v>
      </c>
      <c r="I626" s="146"/>
      <c r="J626" s="159">
        <f t="shared" si="253"/>
        <v>500000</v>
      </c>
      <c r="K626" s="159">
        <f t="shared" si="253"/>
        <v>0</v>
      </c>
      <c r="L626" s="159">
        <f t="shared" si="253"/>
        <v>0</v>
      </c>
    </row>
    <row r="627" spans="1:12" s="147" customFormat="1" ht="27.75" customHeight="1">
      <c r="A627" s="157" t="s">
        <v>260</v>
      </c>
      <c r="B627" s="151" t="s">
        <v>403</v>
      </c>
      <c r="C627" s="151" t="s">
        <v>14</v>
      </c>
      <c r="D627" s="151" t="s">
        <v>14</v>
      </c>
      <c r="E627" s="160" t="s">
        <v>27</v>
      </c>
      <c r="F627" s="160" t="s">
        <v>44</v>
      </c>
      <c r="G627" s="160" t="s">
        <v>148</v>
      </c>
      <c r="H627" s="160" t="s">
        <v>213</v>
      </c>
      <c r="I627" s="146" t="s">
        <v>94</v>
      </c>
      <c r="J627" s="159">
        <f t="shared" si="253"/>
        <v>500000</v>
      </c>
      <c r="K627" s="159">
        <f t="shared" si="253"/>
        <v>0</v>
      </c>
      <c r="L627" s="159">
        <f t="shared" si="253"/>
        <v>0</v>
      </c>
    </row>
    <row r="628" spans="1:12" ht="27.75" customHeight="1">
      <c r="A628" s="156" t="s">
        <v>98</v>
      </c>
      <c r="B628" s="151" t="s">
        <v>403</v>
      </c>
      <c r="C628" s="151" t="s">
        <v>14</v>
      </c>
      <c r="D628" s="151" t="s">
        <v>14</v>
      </c>
      <c r="E628" s="160" t="s">
        <v>27</v>
      </c>
      <c r="F628" s="160" t="s">
        <v>44</v>
      </c>
      <c r="G628" s="160" t="s">
        <v>148</v>
      </c>
      <c r="H628" s="160" t="s">
        <v>213</v>
      </c>
      <c r="I628" s="146" t="s">
        <v>95</v>
      </c>
      <c r="J628" s="159">
        <v>500000</v>
      </c>
      <c r="K628" s="159"/>
      <c r="L628" s="159"/>
    </row>
    <row r="629" spans="1:12" ht="25.5">
      <c r="A629" s="141" t="s">
        <v>393</v>
      </c>
      <c r="B629" s="10" t="s">
        <v>403</v>
      </c>
      <c r="C629" s="10" t="s">
        <v>14</v>
      </c>
      <c r="D629" s="10" t="s">
        <v>14</v>
      </c>
      <c r="E629" s="10" t="s">
        <v>196</v>
      </c>
      <c r="F629" s="10" t="s">
        <v>70</v>
      </c>
      <c r="G629" s="10" t="s">
        <v>148</v>
      </c>
      <c r="H629" s="10" t="s">
        <v>149</v>
      </c>
      <c r="I629" s="13"/>
      <c r="J629" s="87">
        <f>J630</f>
        <v>172500</v>
      </c>
      <c r="K629" s="159">
        <f t="shared" ref="K629:L629" si="254">K630</f>
        <v>172500</v>
      </c>
      <c r="L629" s="159">
        <f t="shared" si="254"/>
        <v>57500</v>
      </c>
    </row>
    <row r="630" spans="1:12">
      <c r="A630" s="82" t="s">
        <v>197</v>
      </c>
      <c r="B630" s="10" t="s">
        <v>403</v>
      </c>
      <c r="C630" s="10" t="s">
        <v>14</v>
      </c>
      <c r="D630" s="10" t="s">
        <v>14</v>
      </c>
      <c r="E630" s="10" t="s">
        <v>196</v>
      </c>
      <c r="F630" s="10" t="s">
        <v>70</v>
      </c>
      <c r="G630" s="10" t="s">
        <v>148</v>
      </c>
      <c r="H630" s="10" t="s">
        <v>198</v>
      </c>
      <c r="I630" s="13"/>
      <c r="J630" s="87">
        <f t="shared" si="250"/>
        <v>172500</v>
      </c>
      <c r="K630" s="159">
        <f t="shared" si="250"/>
        <v>172500</v>
      </c>
      <c r="L630" s="159">
        <f t="shared" si="250"/>
        <v>57500</v>
      </c>
    </row>
    <row r="631" spans="1:12">
      <c r="A631" s="9" t="s">
        <v>100</v>
      </c>
      <c r="B631" s="10" t="s">
        <v>403</v>
      </c>
      <c r="C631" s="10" t="s">
        <v>14</v>
      </c>
      <c r="D631" s="10" t="s">
        <v>14</v>
      </c>
      <c r="E631" s="10" t="s">
        <v>196</v>
      </c>
      <c r="F631" s="10" t="s">
        <v>70</v>
      </c>
      <c r="G631" s="10" t="s">
        <v>148</v>
      </c>
      <c r="H631" s="10" t="s">
        <v>198</v>
      </c>
      <c r="I631" s="13" t="s">
        <v>99</v>
      </c>
      <c r="J631" s="87">
        <f t="shared" si="250"/>
        <v>172500</v>
      </c>
      <c r="K631" s="159">
        <f t="shared" si="250"/>
        <v>172500</v>
      </c>
      <c r="L631" s="159">
        <f t="shared" si="250"/>
        <v>57500</v>
      </c>
    </row>
    <row r="632" spans="1:12" s="147" customFormat="1" ht="25.5">
      <c r="A632" s="9" t="s">
        <v>106</v>
      </c>
      <c r="B632" s="10" t="s">
        <v>403</v>
      </c>
      <c r="C632" s="10" t="s">
        <v>14</v>
      </c>
      <c r="D632" s="10" t="s">
        <v>14</v>
      </c>
      <c r="E632" s="10" t="s">
        <v>196</v>
      </c>
      <c r="F632" s="10" t="s">
        <v>70</v>
      </c>
      <c r="G632" s="10" t="s">
        <v>148</v>
      </c>
      <c r="H632" s="10" t="s">
        <v>198</v>
      </c>
      <c r="I632" s="13" t="s">
        <v>107</v>
      </c>
      <c r="J632" s="87">
        <v>172500</v>
      </c>
      <c r="K632" s="159">
        <v>172500</v>
      </c>
      <c r="L632" s="159">
        <v>57500</v>
      </c>
    </row>
    <row r="633" spans="1:12">
      <c r="A633" s="9"/>
      <c r="B633" s="151"/>
      <c r="C633" s="151"/>
      <c r="D633" s="151"/>
      <c r="E633" s="151"/>
      <c r="F633" s="151"/>
      <c r="G633" s="151"/>
      <c r="H633" s="151"/>
      <c r="I633" s="146"/>
      <c r="J633" s="159"/>
      <c r="K633" s="159"/>
      <c r="L633" s="159"/>
    </row>
    <row r="634" spans="1:12" ht="15.75">
      <c r="A634" s="26" t="s">
        <v>5</v>
      </c>
      <c r="B634" s="31" t="s">
        <v>403</v>
      </c>
      <c r="C634" s="31" t="s">
        <v>30</v>
      </c>
      <c r="D634" s="31"/>
      <c r="E634" s="31"/>
      <c r="F634" s="31"/>
      <c r="G634" s="31"/>
      <c r="H634" s="31"/>
      <c r="I634" s="34"/>
      <c r="J634" s="115">
        <f>J635+J643+J667</f>
        <v>18255380</v>
      </c>
      <c r="K634" s="115">
        <f>K635+K643+K667</f>
        <v>4795700</v>
      </c>
      <c r="L634" s="115">
        <f>L635+L643+L667</f>
        <v>4795700</v>
      </c>
    </row>
    <row r="635" spans="1:12">
      <c r="A635" s="4" t="s">
        <v>6</v>
      </c>
      <c r="B635" s="15" t="s">
        <v>403</v>
      </c>
      <c r="C635" s="15" t="s">
        <v>30</v>
      </c>
      <c r="D635" s="15" t="s">
        <v>20</v>
      </c>
      <c r="E635" s="15"/>
      <c r="F635" s="15"/>
      <c r="G635" s="15"/>
      <c r="H635" s="15"/>
      <c r="I635" s="28"/>
      <c r="J635" s="116">
        <f t="shared" ref="J635:L636" si="255">J636</f>
        <v>4277700</v>
      </c>
      <c r="K635" s="116">
        <f t="shared" si="255"/>
        <v>4277700</v>
      </c>
      <c r="L635" s="116">
        <f t="shared" si="255"/>
        <v>4277700</v>
      </c>
    </row>
    <row r="636" spans="1:12">
      <c r="A636" s="9" t="s">
        <v>83</v>
      </c>
      <c r="B636" s="10" t="s">
        <v>403</v>
      </c>
      <c r="C636" s="10" t="s">
        <v>30</v>
      </c>
      <c r="D636" s="10" t="s">
        <v>20</v>
      </c>
      <c r="E636" s="69" t="s">
        <v>82</v>
      </c>
      <c r="F636" s="10" t="s">
        <v>70</v>
      </c>
      <c r="G636" s="10" t="s">
        <v>148</v>
      </c>
      <c r="H636" s="10" t="s">
        <v>149</v>
      </c>
      <c r="I636" s="17"/>
      <c r="J636" s="87">
        <f t="shared" si="255"/>
        <v>4277700</v>
      </c>
      <c r="K636" s="159">
        <f t="shared" si="255"/>
        <v>4277700</v>
      </c>
      <c r="L636" s="159">
        <f t="shared" si="255"/>
        <v>4277700</v>
      </c>
    </row>
    <row r="637" spans="1:12" s="147" customFormat="1" ht="25.5">
      <c r="A637" s="141" t="s">
        <v>221</v>
      </c>
      <c r="B637" s="10" t="s">
        <v>403</v>
      </c>
      <c r="C637" s="10" t="s">
        <v>30</v>
      </c>
      <c r="D637" s="10" t="s">
        <v>20</v>
      </c>
      <c r="E637" s="69" t="s">
        <v>82</v>
      </c>
      <c r="F637" s="10" t="s">
        <v>70</v>
      </c>
      <c r="G637" s="10" t="s">
        <v>148</v>
      </c>
      <c r="H637" s="10" t="s">
        <v>180</v>
      </c>
      <c r="I637" s="17"/>
      <c r="J637" s="87">
        <f>J638+J640</f>
        <v>4277700</v>
      </c>
      <c r="K637" s="159">
        <f t="shared" ref="K637:L637" si="256">K638+K640</f>
        <v>4277700</v>
      </c>
      <c r="L637" s="159">
        <f t="shared" si="256"/>
        <v>4277700</v>
      </c>
    </row>
    <row r="638" spans="1:12" s="147" customFormat="1" ht="25.5">
      <c r="A638" s="157" t="s">
        <v>260</v>
      </c>
      <c r="B638" s="151" t="s">
        <v>403</v>
      </c>
      <c r="C638" s="151" t="s">
        <v>30</v>
      </c>
      <c r="D638" s="151" t="s">
        <v>20</v>
      </c>
      <c r="E638" s="69" t="s">
        <v>82</v>
      </c>
      <c r="F638" s="151" t="s">
        <v>70</v>
      </c>
      <c r="G638" s="151" t="s">
        <v>148</v>
      </c>
      <c r="H638" s="151" t="s">
        <v>180</v>
      </c>
      <c r="I638" s="162" t="s">
        <v>94</v>
      </c>
      <c r="J638" s="159">
        <f>J639</f>
        <v>77700</v>
      </c>
      <c r="K638" s="159">
        <f t="shared" ref="K638:L638" si="257">K639</f>
        <v>77700</v>
      </c>
      <c r="L638" s="159">
        <f t="shared" si="257"/>
        <v>77700</v>
      </c>
    </row>
    <row r="639" spans="1:12" ht="25.5">
      <c r="A639" s="156" t="s">
        <v>98</v>
      </c>
      <c r="B639" s="151" t="s">
        <v>403</v>
      </c>
      <c r="C639" s="151" t="s">
        <v>30</v>
      </c>
      <c r="D639" s="151" t="s">
        <v>20</v>
      </c>
      <c r="E639" s="69" t="s">
        <v>82</v>
      </c>
      <c r="F639" s="151" t="s">
        <v>70</v>
      </c>
      <c r="G639" s="151" t="s">
        <v>148</v>
      </c>
      <c r="H639" s="151" t="s">
        <v>180</v>
      </c>
      <c r="I639" s="162" t="s">
        <v>95</v>
      </c>
      <c r="J639" s="159">
        <v>77700</v>
      </c>
      <c r="K639" s="159">
        <v>77700</v>
      </c>
      <c r="L639" s="159">
        <v>77700</v>
      </c>
    </row>
    <row r="640" spans="1:12" s="147" customFormat="1">
      <c r="A640" s="9" t="s">
        <v>100</v>
      </c>
      <c r="B640" s="10" t="s">
        <v>403</v>
      </c>
      <c r="C640" s="10" t="s">
        <v>30</v>
      </c>
      <c r="D640" s="10" t="s">
        <v>20</v>
      </c>
      <c r="E640" s="69" t="s">
        <v>82</v>
      </c>
      <c r="F640" s="10" t="s">
        <v>70</v>
      </c>
      <c r="G640" s="10" t="s">
        <v>148</v>
      </c>
      <c r="H640" s="10" t="s">
        <v>180</v>
      </c>
      <c r="I640" s="17" t="s">
        <v>99</v>
      </c>
      <c r="J640" s="87">
        <f>J641</f>
        <v>4200000</v>
      </c>
      <c r="K640" s="159">
        <f t="shared" ref="K640:L640" si="258">K641</f>
        <v>4200000</v>
      </c>
      <c r="L640" s="159">
        <f t="shared" si="258"/>
        <v>4200000</v>
      </c>
    </row>
    <row r="641" spans="1:12">
      <c r="A641" s="9" t="s">
        <v>253</v>
      </c>
      <c r="B641" s="151" t="s">
        <v>403</v>
      </c>
      <c r="C641" s="151" t="s">
        <v>30</v>
      </c>
      <c r="D641" s="151" t="s">
        <v>20</v>
      </c>
      <c r="E641" s="69" t="s">
        <v>82</v>
      </c>
      <c r="F641" s="151" t="s">
        <v>70</v>
      </c>
      <c r="G641" s="151" t="s">
        <v>148</v>
      </c>
      <c r="H641" s="151" t="s">
        <v>180</v>
      </c>
      <c r="I641" s="162" t="s">
        <v>252</v>
      </c>
      <c r="J641" s="159">
        <v>4200000</v>
      </c>
      <c r="K641" s="159">
        <v>4200000</v>
      </c>
      <c r="L641" s="159">
        <v>4200000</v>
      </c>
    </row>
    <row r="642" spans="1:12">
      <c r="A642" s="9"/>
      <c r="B642" s="10" t="s">
        <v>403</v>
      </c>
      <c r="C642" s="10"/>
      <c r="D642" s="10"/>
      <c r="E642" s="69"/>
      <c r="F642" s="10"/>
      <c r="G642" s="10"/>
      <c r="H642" s="10"/>
      <c r="I642" s="13"/>
      <c r="J642" s="87"/>
      <c r="K642" s="159"/>
      <c r="L642" s="159"/>
    </row>
    <row r="643" spans="1:12">
      <c r="A643" s="4" t="s">
        <v>7</v>
      </c>
      <c r="B643" s="15" t="s">
        <v>403</v>
      </c>
      <c r="C643" s="15" t="s">
        <v>30</v>
      </c>
      <c r="D643" s="15" t="s">
        <v>13</v>
      </c>
      <c r="E643" s="15"/>
      <c r="F643" s="15"/>
      <c r="G643" s="15"/>
      <c r="H643" s="1"/>
      <c r="I643" s="13"/>
      <c r="J643" s="116">
        <f>+J656+J648+J644</f>
        <v>13927680</v>
      </c>
      <c r="K643" s="116">
        <f t="shared" ref="K643:L643" si="259">+K656+K648+K644</f>
        <v>468000</v>
      </c>
      <c r="L643" s="116">
        <f t="shared" si="259"/>
        <v>468000</v>
      </c>
    </row>
    <row r="644" spans="1:12" s="147" customFormat="1" ht="27" customHeight="1">
      <c r="A644" s="128" t="s">
        <v>286</v>
      </c>
      <c r="B644" s="148" t="s">
        <v>403</v>
      </c>
      <c r="C644" s="151" t="s">
        <v>30</v>
      </c>
      <c r="D644" s="151" t="s">
        <v>13</v>
      </c>
      <c r="E644" s="151" t="s">
        <v>3</v>
      </c>
      <c r="F644" s="151" t="s">
        <v>70</v>
      </c>
      <c r="G644" s="151" t="s">
        <v>148</v>
      </c>
      <c r="H644" s="151" t="s">
        <v>149</v>
      </c>
      <c r="I644" s="153"/>
      <c r="J644" s="161">
        <f>J645</f>
        <v>200000</v>
      </c>
      <c r="K644" s="161">
        <f t="shared" ref="K644:L644" si="260">K645</f>
        <v>200000</v>
      </c>
      <c r="L644" s="161">
        <f t="shared" si="260"/>
        <v>200000</v>
      </c>
    </row>
    <row r="645" spans="1:12" s="147" customFormat="1">
      <c r="A645" s="216" t="s">
        <v>385</v>
      </c>
      <c r="B645" s="148" t="s">
        <v>403</v>
      </c>
      <c r="C645" s="151" t="s">
        <v>30</v>
      </c>
      <c r="D645" s="151" t="s">
        <v>13</v>
      </c>
      <c r="E645" s="151" t="s">
        <v>3</v>
      </c>
      <c r="F645" s="151" t="s">
        <v>70</v>
      </c>
      <c r="G645" s="151" t="s">
        <v>148</v>
      </c>
      <c r="H645" s="160" t="s">
        <v>386</v>
      </c>
      <c r="I645" s="153"/>
      <c r="J645" s="161">
        <f t="shared" ref="J645:L646" si="261">J646</f>
        <v>200000</v>
      </c>
      <c r="K645" s="161">
        <f t="shared" si="261"/>
        <v>200000</v>
      </c>
      <c r="L645" s="161">
        <f t="shared" si="261"/>
        <v>200000</v>
      </c>
    </row>
    <row r="646" spans="1:12" s="147" customFormat="1">
      <c r="A646" s="9" t="s">
        <v>100</v>
      </c>
      <c r="B646" s="148" t="s">
        <v>403</v>
      </c>
      <c r="C646" s="151" t="s">
        <v>30</v>
      </c>
      <c r="D646" s="151" t="s">
        <v>13</v>
      </c>
      <c r="E646" s="151" t="s">
        <v>3</v>
      </c>
      <c r="F646" s="151" t="s">
        <v>70</v>
      </c>
      <c r="G646" s="151" t="s">
        <v>148</v>
      </c>
      <c r="H646" s="160" t="s">
        <v>386</v>
      </c>
      <c r="I646" s="153" t="s">
        <v>99</v>
      </c>
      <c r="J646" s="161">
        <f t="shared" si="261"/>
        <v>200000</v>
      </c>
      <c r="K646" s="161">
        <f t="shared" si="261"/>
        <v>200000</v>
      </c>
      <c r="L646" s="161">
        <f t="shared" si="261"/>
        <v>200000</v>
      </c>
    </row>
    <row r="647" spans="1:12" s="147" customFormat="1" ht="25.5">
      <c r="A647" s="9" t="s">
        <v>106</v>
      </c>
      <c r="B647" s="148" t="s">
        <v>403</v>
      </c>
      <c r="C647" s="151" t="s">
        <v>30</v>
      </c>
      <c r="D647" s="151" t="s">
        <v>13</v>
      </c>
      <c r="E647" s="151" t="s">
        <v>3</v>
      </c>
      <c r="F647" s="151" t="s">
        <v>70</v>
      </c>
      <c r="G647" s="151" t="s">
        <v>148</v>
      </c>
      <c r="H647" s="160" t="s">
        <v>386</v>
      </c>
      <c r="I647" s="153" t="s">
        <v>107</v>
      </c>
      <c r="J647" s="161">
        <v>200000</v>
      </c>
      <c r="K647" s="161">
        <v>200000</v>
      </c>
      <c r="L647" s="161">
        <v>200000</v>
      </c>
    </row>
    <row r="648" spans="1:12" s="147" customFormat="1" ht="38.25">
      <c r="A648" s="149" t="s">
        <v>289</v>
      </c>
      <c r="B648" s="148" t="s">
        <v>403</v>
      </c>
      <c r="C648" s="151" t="s">
        <v>30</v>
      </c>
      <c r="D648" s="151" t="s">
        <v>13</v>
      </c>
      <c r="E648" s="148" t="s">
        <v>27</v>
      </c>
      <c r="F648" s="148" t="s">
        <v>70</v>
      </c>
      <c r="G648" s="148" t="s">
        <v>148</v>
      </c>
      <c r="H648" s="148" t="s">
        <v>149</v>
      </c>
      <c r="I648" s="146"/>
      <c r="J648" s="159">
        <f>J649</f>
        <v>13459680</v>
      </c>
      <c r="K648" s="159">
        <f t="shared" ref="K648:L648" si="262">K649</f>
        <v>0</v>
      </c>
      <c r="L648" s="159">
        <f t="shared" si="262"/>
        <v>0</v>
      </c>
    </row>
    <row r="649" spans="1:12" s="147" customFormat="1">
      <c r="A649" s="150" t="s">
        <v>215</v>
      </c>
      <c r="B649" s="148" t="s">
        <v>403</v>
      </c>
      <c r="C649" s="151" t="s">
        <v>30</v>
      </c>
      <c r="D649" s="151" t="s">
        <v>13</v>
      </c>
      <c r="E649" s="148" t="s">
        <v>27</v>
      </c>
      <c r="F649" s="148" t="s">
        <v>127</v>
      </c>
      <c r="G649" s="148" t="s">
        <v>148</v>
      </c>
      <c r="H649" s="148" t="s">
        <v>149</v>
      </c>
      <c r="I649" s="146"/>
      <c r="J649" s="159">
        <f>J650+J653</f>
        <v>13459680</v>
      </c>
      <c r="K649" s="159">
        <f t="shared" ref="K649:L649" si="263">K650+K653</f>
        <v>0</v>
      </c>
      <c r="L649" s="159">
        <f t="shared" si="263"/>
        <v>0</v>
      </c>
    </row>
    <row r="650" spans="1:12" s="163" customFormat="1" ht="65.25" customHeight="1">
      <c r="A650" s="173" t="s">
        <v>255</v>
      </c>
      <c r="B650" s="148" t="s">
        <v>403</v>
      </c>
      <c r="C650" s="151" t="s">
        <v>30</v>
      </c>
      <c r="D650" s="151" t="s">
        <v>13</v>
      </c>
      <c r="E650" s="160" t="s">
        <v>27</v>
      </c>
      <c r="F650" s="160" t="s">
        <v>127</v>
      </c>
      <c r="G650" s="160" t="s">
        <v>256</v>
      </c>
      <c r="H650" s="160" t="s">
        <v>257</v>
      </c>
      <c r="I650" s="137"/>
      <c r="J650" s="138">
        <f>+J651</f>
        <v>13190486.4</v>
      </c>
      <c r="K650" s="138">
        <f t="shared" ref="K650:L650" si="264">+K651</f>
        <v>0</v>
      </c>
      <c r="L650" s="138">
        <f t="shared" si="264"/>
        <v>0</v>
      </c>
    </row>
    <row r="651" spans="1:12" s="163" customFormat="1">
      <c r="A651" s="9" t="s">
        <v>100</v>
      </c>
      <c r="B651" s="148" t="s">
        <v>403</v>
      </c>
      <c r="C651" s="151" t="s">
        <v>30</v>
      </c>
      <c r="D651" s="151" t="s">
        <v>13</v>
      </c>
      <c r="E651" s="160" t="s">
        <v>27</v>
      </c>
      <c r="F651" s="160" t="s">
        <v>127</v>
      </c>
      <c r="G651" s="160" t="s">
        <v>256</v>
      </c>
      <c r="H651" s="160" t="s">
        <v>257</v>
      </c>
      <c r="I651" s="137" t="s">
        <v>99</v>
      </c>
      <c r="J651" s="138">
        <f>J652</f>
        <v>13190486.4</v>
      </c>
      <c r="K651" s="138">
        <f t="shared" ref="K651:L651" si="265">K652</f>
        <v>0</v>
      </c>
      <c r="L651" s="138">
        <f t="shared" si="265"/>
        <v>0</v>
      </c>
    </row>
    <row r="652" spans="1:12" s="163" customFormat="1" ht="25.5">
      <c r="A652" s="9" t="s">
        <v>106</v>
      </c>
      <c r="B652" s="148" t="s">
        <v>403</v>
      </c>
      <c r="C652" s="151" t="s">
        <v>30</v>
      </c>
      <c r="D652" s="151" t="s">
        <v>13</v>
      </c>
      <c r="E652" s="160" t="s">
        <v>27</v>
      </c>
      <c r="F652" s="160" t="s">
        <v>127</v>
      </c>
      <c r="G652" s="160" t="s">
        <v>256</v>
      </c>
      <c r="H652" s="160" t="s">
        <v>257</v>
      </c>
      <c r="I652" s="137" t="s">
        <v>107</v>
      </c>
      <c r="J652" s="138">
        <v>13190486.4</v>
      </c>
      <c r="K652" s="138"/>
      <c r="L652" s="159"/>
    </row>
    <row r="653" spans="1:12" s="163" customFormat="1" ht="51.75" customHeight="1">
      <c r="A653" s="173" t="s">
        <v>258</v>
      </c>
      <c r="B653" s="148" t="s">
        <v>403</v>
      </c>
      <c r="C653" s="151" t="s">
        <v>30</v>
      </c>
      <c r="D653" s="151" t="s">
        <v>13</v>
      </c>
      <c r="E653" s="160" t="s">
        <v>27</v>
      </c>
      <c r="F653" s="160" t="s">
        <v>127</v>
      </c>
      <c r="G653" s="160" t="s">
        <v>256</v>
      </c>
      <c r="H653" s="160" t="s">
        <v>259</v>
      </c>
      <c r="I653" s="137"/>
      <c r="J653" s="138">
        <f>J654</f>
        <v>269193.59999999998</v>
      </c>
      <c r="K653" s="138">
        <f t="shared" ref="K653:L654" si="266">K654</f>
        <v>0</v>
      </c>
      <c r="L653" s="138">
        <f t="shared" si="266"/>
        <v>0</v>
      </c>
    </row>
    <row r="654" spans="1:12" s="163" customFormat="1">
      <c r="A654" s="9" t="s">
        <v>100</v>
      </c>
      <c r="B654" s="148" t="s">
        <v>403</v>
      </c>
      <c r="C654" s="151" t="s">
        <v>30</v>
      </c>
      <c r="D654" s="151" t="s">
        <v>13</v>
      </c>
      <c r="E654" s="160" t="s">
        <v>27</v>
      </c>
      <c r="F654" s="160" t="s">
        <v>127</v>
      </c>
      <c r="G654" s="160" t="s">
        <v>256</v>
      </c>
      <c r="H654" s="160" t="s">
        <v>259</v>
      </c>
      <c r="I654" s="137" t="s">
        <v>99</v>
      </c>
      <c r="J654" s="138">
        <f>J655</f>
        <v>269193.59999999998</v>
      </c>
      <c r="K654" s="138">
        <f t="shared" si="266"/>
        <v>0</v>
      </c>
      <c r="L654" s="138">
        <f t="shared" si="266"/>
        <v>0</v>
      </c>
    </row>
    <row r="655" spans="1:12" s="163" customFormat="1" ht="25.5">
      <c r="A655" s="9" t="s">
        <v>106</v>
      </c>
      <c r="B655" s="148" t="s">
        <v>403</v>
      </c>
      <c r="C655" s="151" t="s">
        <v>30</v>
      </c>
      <c r="D655" s="151" t="s">
        <v>13</v>
      </c>
      <c r="E655" s="160" t="s">
        <v>27</v>
      </c>
      <c r="F655" s="160" t="s">
        <v>127</v>
      </c>
      <c r="G655" s="160" t="s">
        <v>256</v>
      </c>
      <c r="H655" s="160" t="s">
        <v>259</v>
      </c>
      <c r="I655" s="137" t="s">
        <v>107</v>
      </c>
      <c r="J655" s="138">
        <v>269193.59999999998</v>
      </c>
      <c r="K655" s="138"/>
      <c r="L655" s="159"/>
    </row>
    <row r="656" spans="1:12">
      <c r="A656" s="2" t="s">
        <v>83</v>
      </c>
      <c r="B656" s="1" t="s">
        <v>403</v>
      </c>
      <c r="C656" s="1" t="s">
        <v>30</v>
      </c>
      <c r="D656" s="1" t="s">
        <v>13</v>
      </c>
      <c r="E656" s="1" t="s">
        <v>82</v>
      </c>
      <c r="F656" s="1" t="s">
        <v>70</v>
      </c>
      <c r="G656" s="1" t="s">
        <v>148</v>
      </c>
      <c r="H656" s="1" t="s">
        <v>149</v>
      </c>
      <c r="I656" s="13"/>
      <c r="J656" s="87">
        <f>J657+J660+J663</f>
        <v>268000</v>
      </c>
      <c r="K656" s="159">
        <f t="shared" ref="K656:L656" si="267">K657+K660+K663</f>
        <v>268000</v>
      </c>
      <c r="L656" s="159">
        <f t="shared" si="267"/>
        <v>268000</v>
      </c>
    </row>
    <row r="657" spans="1:12">
      <c r="A657" s="2" t="s">
        <v>108</v>
      </c>
      <c r="B657" s="1" t="s">
        <v>403</v>
      </c>
      <c r="C657" s="1" t="s">
        <v>30</v>
      </c>
      <c r="D657" s="1" t="s">
        <v>13</v>
      </c>
      <c r="E657" s="1" t="s">
        <v>82</v>
      </c>
      <c r="F657" s="1" t="s">
        <v>70</v>
      </c>
      <c r="G657" s="1" t="s">
        <v>148</v>
      </c>
      <c r="H657" s="1" t="s">
        <v>181</v>
      </c>
      <c r="I657" s="13"/>
      <c r="J657" s="87">
        <f>J658</f>
        <v>80000</v>
      </c>
      <c r="K657" s="159">
        <f t="shared" ref="K657:L658" si="268">K658</f>
        <v>80000</v>
      </c>
      <c r="L657" s="159">
        <f t="shared" si="268"/>
        <v>80000</v>
      </c>
    </row>
    <row r="658" spans="1:12" s="147" customFormat="1">
      <c r="A658" s="9" t="s">
        <v>100</v>
      </c>
      <c r="B658" s="1" t="s">
        <v>403</v>
      </c>
      <c r="C658" s="1" t="s">
        <v>30</v>
      </c>
      <c r="D658" s="1" t="s">
        <v>13</v>
      </c>
      <c r="E658" s="1" t="s">
        <v>82</v>
      </c>
      <c r="F658" s="1" t="s">
        <v>70</v>
      </c>
      <c r="G658" s="1" t="s">
        <v>148</v>
      </c>
      <c r="H658" s="1" t="s">
        <v>181</v>
      </c>
      <c r="I658" s="13" t="s">
        <v>99</v>
      </c>
      <c r="J658" s="87">
        <f>J659</f>
        <v>80000</v>
      </c>
      <c r="K658" s="159">
        <f t="shared" si="268"/>
        <v>80000</v>
      </c>
      <c r="L658" s="159">
        <f t="shared" si="268"/>
        <v>80000</v>
      </c>
    </row>
    <row r="659" spans="1:12">
      <c r="A659" s="156" t="s">
        <v>117</v>
      </c>
      <c r="B659" s="148" t="s">
        <v>403</v>
      </c>
      <c r="C659" s="148" t="s">
        <v>30</v>
      </c>
      <c r="D659" s="148" t="s">
        <v>13</v>
      </c>
      <c r="E659" s="148" t="s">
        <v>82</v>
      </c>
      <c r="F659" s="148" t="s">
        <v>70</v>
      </c>
      <c r="G659" s="148" t="s">
        <v>148</v>
      </c>
      <c r="H659" s="148" t="s">
        <v>181</v>
      </c>
      <c r="I659" s="146" t="s">
        <v>116</v>
      </c>
      <c r="J659" s="159">
        <v>80000</v>
      </c>
      <c r="K659" s="159">
        <v>80000</v>
      </c>
      <c r="L659" s="159">
        <v>80000</v>
      </c>
    </row>
    <row r="660" spans="1:12" ht="25.5">
      <c r="A660" s="156" t="s">
        <v>399</v>
      </c>
      <c r="B660" s="1" t="s">
        <v>403</v>
      </c>
      <c r="C660" s="1" t="s">
        <v>30</v>
      </c>
      <c r="D660" s="1" t="s">
        <v>13</v>
      </c>
      <c r="E660" s="1" t="s">
        <v>82</v>
      </c>
      <c r="F660" s="1" t="s">
        <v>70</v>
      </c>
      <c r="G660" s="1" t="s">
        <v>148</v>
      </c>
      <c r="H660" s="1" t="s">
        <v>182</v>
      </c>
      <c r="I660" s="13"/>
      <c r="J660" s="87">
        <f>J661</f>
        <v>138000</v>
      </c>
      <c r="K660" s="159">
        <f t="shared" ref="K660:L661" si="269">K661</f>
        <v>138000</v>
      </c>
      <c r="L660" s="159">
        <f t="shared" si="269"/>
        <v>138000</v>
      </c>
    </row>
    <row r="661" spans="1:12">
      <c r="A661" s="9" t="s">
        <v>100</v>
      </c>
      <c r="B661" s="1" t="s">
        <v>403</v>
      </c>
      <c r="C661" s="1" t="s">
        <v>30</v>
      </c>
      <c r="D661" s="1" t="s">
        <v>13</v>
      </c>
      <c r="E661" s="1" t="s">
        <v>82</v>
      </c>
      <c r="F661" s="1" t="s">
        <v>70</v>
      </c>
      <c r="G661" s="1" t="s">
        <v>148</v>
      </c>
      <c r="H661" s="1" t="s">
        <v>182</v>
      </c>
      <c r="I661" s="13" t="s">
        <v>99</v>
      </c>
      <c r="J661" s="87">
        <f>J662</f>
        <v>138000</v>
      </c>
      <c r="K661" s="159">
        <f t="shared" si="269"/>
        <v>138000</v>
      </c>
      <c r="L661" s="159">
        <f t="shared" si="269"/>
        <v>138000</v>
      </c>
    </row>
    <row r="662" spans="1:12">
      <c r="A662" s="81" t="s">
        <v>117</v>
      </c>
      <c r="B662" s="1" t="s">
        <v>403</v>
      </c>
      <c r="C662" s="1" t="s">
        <v>30</v>
      </c>
      <c r="D662" s="1" t="s">
        <v>13</v>
      </c>
      <c r="E662" s="1" t="s">
        <v>82</v>
      </c>
      <c r="F662" s="1" t="s">
        <v>70</v>
      </c>
      <c r="G662" s="1" t="s">
        <v>148</v>
      </c>
      <c r="H662" s="1" t="s">
        <v>182</v>
      </c>
      <c r="I662" s="13" t="s">
        <v>116</v>
      </c>
      <c r="J662" s="87">
        <v>138000</v>
      </c>
      <c r="K662" s="159">
        <v>138000</v>
      </c>
      <c r="L662" s="159">
        <v>138000</v>
      </c>
    </row>
    <row r="663" spans="1:12" s="147" customFormat="1" ht="25.5">
      <c r="A663" s="156" t="s">
        <v>400</v>
      </c>
      <c r="B663" s="1" t="s">
        <v>403</v>
      </c>
      <c r="C663" s="1" t="s">
        <v>30</v>
      </c>
      <c r="D663" s="1" t="s">
        <v>13</v>
      </c>
      <c r="E663" s="1" t="s">
        <v>82</v>
      </c>
      <c r="F663" s="1" t="s">
        <v>70</v>
      </c>
      <c r="G663" s="1" t="s">
        <v>148</v>
      </c>
      <c r="H663" s="1" t="s">
        <v>183</v>
      </c>
      <c r="I663" s="13"/>
      <c r="J663" s="87">
        <f>J664</f>
        <v>50000</v>
      </c>
      <c r="K663" s="159">
        <f t="shared" ref="K663:L663" si="270">K664</f>
        <v>50000</v>
      </c>
      <c r="L663" s="159">
        <f t="shared" si="270"/>
        <v>50000</v>
      </c>
    </row>
    <row r="664" spans="1:12" s="147" customFormat="1" ht="25.5">
      <c r="A664" s="157" t="s">
        <v>260</v>
      </c>
      <c r="B664" s="148" t="s">
        <v>403</v>
      </c>
      <c r="C664" s="148" t="s">
        <v>30</v>
      </c>
      <c r="D664" s="148" t="s">
        <v>13</v>
      </c>
      <c r="E664" s="148" t="s">
        <v>82</v>
      </c>
      <c r="F664" s="148" t="s">
        <v>70</v>
      </c>
      <c r="G664" s="148" t="s">
        <v>148</v>
      </c>
      <c r="H664" s="148" t="s">
        <v>183</v>
      </c>
      <c r="I664" s="146" t="s">
        <v>94</v>
      </c>
      <c r="J664" s="159">
        <f>J665</f>
        <v>50000</v>
      </c>
      <c r="K664" s="159">
        <f t="shared" ref="K664:L664" si="271">K665</f>
        <v>50000</v>
      </c>
      <c r="L664" s="159">
        <f t="shared" si="271"/>
        <v>50000</v>
      </c>
    </row>
    <row r="665" spans="1:12" ht="25.5">
      <c r="A665" s="156" t="s">
        <v>98</v>
      </c>
      <c r="B665" s="148" t="s">
        <v>403</v>
      </c>
      <c r="C665" s="148" t="s">
        <v>30</v>
      </c>
      <c r="D665" s="148" t="s">
        <v>13</v>
      </c>
      <c r="E665" s="148" t="s">
        <v>82</v>
      </c>
      <c r="F665" s="148" t="s">
        <v>70</v>
      </c>
      <c r="G665" s="148" t="s">
        <v>148</v>
      </c>
      <c r="H665" s="148" t="s">
        <v>183</v>
      </c>
      <c r="I665" s="146" t="s">
        <v>95</v>
      </c>
      <c r="J665" s="159">
        <v>50000</v>
      </c>
      <c r="K665" s="159">
        <v>50000</v>
      </c>
      <c r="L665" s="159">
        <v>50000</v>
      </c>
    </row>
    <row r="666" spans="1:12">
      <c r="A666" s="2"/>
      <c r="B666" s="1"/>
      <c r="C666" s="1"/>
      <c r="D666" s="1"/>
      <c r="E666" s="1"/>
      <c r="F666" s="1"/>
      <c r="G666" s="1"/>
      <c r="H666" s="1"/>
      <c r="I666" s="13"/>
      <c r="J666" s="87"/>
      <c r="K666" s="159"/>
      <c r="L666" s="159"/>
    </row>
    <row r="667" spans="1:12">
      <c r="A667" s="19" t="s">
        <v>21</v>
      </c>
      <c r="B667" s="14" t="s">
        <v>403</v>
      </c>
      <c r="C667" s="14" t="s">
        <v>30</v>
      </c>
      <c r="D667" s="14" t="s">
        <v>16</v>
      </c>
      <c r="E667" s="14"/>
      <c r="F667" s="14"/>
      <c r="G667" s="14"/>
      <c r="H667" s="1"/>
      <c r="I667" s="13"/>
      <c r="J667" s="116">
        <f>J668</f>
        <v>50000</v>
      </c>
      <c r="K667" s="116">
        <f t="shared" ref="K667:L667" si="272">K668</f>
        <v>50000</v>
      </c>
      <c r="L667" s="116">
        <f t="shared" si="272"/>
        <v>50000</v>
      </c>
    </row>
    <row r="668" spans="1:12" ht="38.25">
      <c r="A668" s="82" t="s">
        <v>293</v>
      </c>
      <c r="B668" s="1" t="s">
        <v>403</v>
      </c>
      <c r="C668" s="1" t="s">
        <v>30</v>
      </c>
      <c r="D668" s="1" t="s">
        <v>16</v>
      </c>
      <c r="E668" s="1" t="s">
        <v>31</v>
      </c>
      <c r="F668" s="1" t="s">
        <v>70</v>
      </c>
      <c r="G668" s="1" t="s">
        <v>148</v>
      </c>
      <c r="H668" s="1" t="s">
        <v>149</v>
      </c>
      <c r="I668" s="30"/>
      <c r="J668" s="117">
        <f>SUM(J669)</f>
        <v>50000</v>
      </c>
      <c r="K668" s="161">
        <f t="shared" ref="K668:L669" si="273">SUM(K669)</f>
        <v>50000</v>
      </c>
      <c r="L668" s="161">
        <f t="shared" si="273"/>
        <v>50000</v>
      </c>
    </row>
    <row r="669" spans="1:12" ht="25.5">
      <c r="A669" s="2" t="s">
        <v>123</v>
      </c>
      <c r="B669" s="1" t="s">
        <v>403</v>
      </c>
      <c r="C669" s="1" t="s">
        <v>30</v>
      </c>
      <c r="D669" s="1" t="s">
        <v>16</v>
      </c>
      <c r="E669" s="1" t="s">
        <v>31</v>
      </c>
      <c r="F669" s="1" t="s">
        <v>70</v>
      </c>
      <c r="G669" s="1" t="s">
        <v>148</v>
      </c>
      <c r="H669" s="1" t="s">
        <v>184</v>
      </c>
      <c r="I669" s="30"/>
      <c r="J669" s="117">
        <f>SUM(J670)</f>
        <v>50000</v>
      </c>
      <c r="K669" s="161">
        <f t="shared" si="273"/>
        <v>50000</v>
      </c>
      <c r="L669" s="161">
        <f t="shared" si="273"/>
        <v>50000</v>
      </c>
    </row>
    <row r="670" spans="1:12" ht="25.5">
      <c r="A670" s="157" t="s">
        <v>260</v>
      </c>
      <c r="B670" s="10" t="s">
        <v>403</v>
      </c>
      <c r="C670" s="1" t="s">
        <v>30</v>
      </c>
      <c r="D670" s="1" t="s">
        <v>16</v>
      </c>
      <c r="E670" s="1" t="s">
        <v>31</v>
      </c>
      <c r="F670" s="1" t="s">
        <v>70</v>
      </c>
      <c r="G670" s="1" t="s">
        <v>148</v>
      </c>
      <c r="H670" s="1" t="s">
        <v>184</v>
      </c>
      <c r="I670" s="17" t="s">
        <v>94</v>
      </c>
      <c r="J670" s="117">
        <f>J671</f>
        <v>50000</v>
      </c>
      <c r="K670" s="161">
        <f t="shared" ref="K670:L670" si="274">K671</f>
        <v>50000</v>
      </c>
      <c r="L670" s="161">
        <f t="shared" si="274"/>
        <v>50000</v>
      </c>
    </row>
    <row r="671" spans="1:12" s="147" customFormat="1" ht="25.5">
      <c r="A671" s="81" t="s">
        <v>98</v>
      </c>
      <c r="B671" s="10" t="s">
        <v>403</v>
      </c>
      <c r="C671" s="1" t="s">
        <v>30</v>
      </c>
      <c r="D671" s="1" t="s">
        <v>16</v>
      </c>
      <c r="E671" s="1" t="s">
        <v>31</v>
      </c>
      <c r="F671" s="1" t="s">
        <v>70</v>
      </c>
      <c r="G671" s="1" t="s">
        <v>148</v>
      </c>
      <c r="H671" s="1" t="s">
        <v>184</v>
      </c>
      <c r="I671" s="17" t="s">
        <v>95</v>
      </c>
      <c r="J671" s="117">
        <v>50000</v>
      </c>
      <c r="K671" s="161">
        <v>50000</v>
      </c>
      <c r="L671" s="161">
        <v>50000</v>
      </c>
    </row>
    <row r="672" spans="1:12" ht="15.75" customHeight="1">
      <c r="A672" s="11"/>
      <c r="B672" s="10"/>
      <c r="C672" s="10"/>
      <c r="D672" s="10"/>
      <c r="E672" s="69"/>
      <c r="F672" s="10"/>
      <c r="G672" s="10"/>
      <c r="H672" s="1"/>
      <c r="I672" s="17"/>
      <c r="J672" s="117"/>
      <c r="K672" s="161"/>
      <c r="L672" s="161"/>
    </row>
    <row r="673" spans="1:12" ht="15" customHeight="1">
      <c r="A673" s="26" t="s">
        <v>112</v>
      </c>
      <c r="B673" s="31" t="s">
        <v>403</v>
      </c>
      <c r="C673" s="31" t="s">
        <v>49</v>
      </c>
      <c r="D673" s="31"/>
      <c r="E673" s="31"/>
      <c r="F673" s="31"/>
      <c r="G673" s="31"/>
      <c r="H673" s="31"/>
      <c r="I673" s="34"/>
      <c r="J673" s="115">
        <f t="shared" ref="J673:L673" si="275">+J674</f>
        <v>10000</v>
      </c>
      <c r="K673" s="115">
        <f t="shared" si="275"/>
        <v>10000</v>
      </c>
      <c r="L673" s="115">
        <f t="shared" si="275"/>
        <v>9600</v>
      </c>
    </row>
    <row r="674" spans="1:12">
      <c r="A674" s="19" t="s">
        <v>261</v>
      </c>
      <c r="B674" s="15" t="s">
        <v>403</v>
      </c>
      <c r="C674" s="15" t="s">
        <v>49</v>
      </c>
      <c r="D674" s="15" t="s">
        <v>20</v>
      </c>
      <c r="E674" s="15"/>
      <c r="F674" s="15"/>
      <c r="G674" s="15"/>
      <c r="H674" s="15"/>
      <c r="I674" s="28"/>
      <c r="J674" s="116">
        <f t="shared" ref="J674:L678" si="276">J675</f>
        <v>10000</v>
      </c>
      <c r="K674" s="116">
        <f t="shared" si="276"/>
        <v>10000</v>
      </c>
      <c r="L674" s="116">
        <f t="shared" si="276"/>
        <v>9600</v>
      </c>
    </row>
    <row r="675" spans="1:12" s="147" customFormat="1" ht="38.25">
      <c r="A675" s="36" t="s">
        <v>294</v>
      </c>
      <c r="B675" s="10" t="s">
        <v>403</v>
      </c>
      <c r="C675" s="37" t="s">
        <v>49</v>
      </c>
      <c r="D675" s="37" t="s">
        <v>20</v>
      </c>
      <c r="E675" s="145" t="s">
        <v>19</v>
      </c>
      <c r="F675" s="37" t="s">
        <v>70</v>
      </c>
      <c r="G675" s="37" t="s">
        <v>148</v>
      </c>
      <c r="H675" s="37" t="s">
        <v>149</v>
      </c>
      <c r="I675" s="38"/>
      <c r="J675" s="87">
        <f t="shared" si="276"/>
        <v>10000</v>
      </c>
      <c r="K675" s="159">
        <f t="shared" si="276"/>
        <v>10000</v>
      </c>
      <c r="L675" s="159">
        <f t="shared" si="276"/>
        <v>9600</v>
      </c>
    </row>
    <row r="676" spans="1:12" ht="25.5">
      <c r="A676" s="36" t="s">
        <v>295</v>
      </c>
      <c r="B676" s="151" t="s">
        <v>403</v>
      </c>
      <c r="C676" s="145" t="s">
        <v>49</v>
      </c>
      <c r="D676" s="145" t="s">
        <v>20</v>
      </c>
      <c r="E676" s="145" t="s">
        <v>19</v>
      </c>
      <c r="F676" s="145" t="s">
        <v>134</v>
      </c>
      <c r="G676" s="145" t="s">
        <v>148</v>
      </c>
      <c r="H676" s="145" t="s">
        <v>149</v>
      </c>
      <c r="I676" s="38"/>
      <c r="J676" s="159">
        <f t="shared" si="276"/>
        <v>10000</v>
      </c>
      <c r="K676" s="159">
        <f t="shared" si="276"/>
        <v>10000</v>
      </c>
      <c r="L676" s="159">
        <f t="shared" si="276"/>
        <v>9600</v>
      </c>
    </row>
    <row r="677" spans="1:12">
      <c r="A677" s="149" t="s">
        <v>109</v>
      </c>
      <c r="B677" s="151" t="s">
        <v>403</v>
      </c>
      <c r="C677" s="145" t="s">
        <v>49</v>
      </c>
      <c r="D677" s="145" t="s">
        <v>20</v>
      </c>
      <c r="E677" s="145" t="s">
        <v>19</v>
      </c>
      <c r="F677" s="145" t="s">
        <v>134</v>
      </c>
      <c r="G677" s="145" t="s">
        <v>148</v>
      </c>
      <c r="H677" s="37" t="s">
        <v>187</v>
      </c>
      <c r="I677" s="38"/>
      <c r="J677" s="87">
        <f t="shared" si="276"/>
        <v>10000</v>
      </c>
      <c r="K677" s="159">
        <f t="shared" si="276"/>
        <v>10000</v>
      </c>
      <c r="L677" s="159">
        <f t="shared" si="276"/>
        <v>9600</v>
      </c>
    </row>
    <row r="678" spans="1:12">
      <c r="A678" s="2" t="s">
        <v>112</v>
      </c>
      <c r="B678" s="151" t="s">
        <v>403</v>
      </c>
      <c r="C678" s="145" t="s">
        <v>49</v>
      </c>
      <c r="D678" s="145" t="s">
        <v>20</v>
      </c>
      <c r="E678" s="145" t="s">
        <v>19</v>
      </c>
      <c r="F678" s="145" t="s">
        <v>134</v>
      </c>
      <c r="G678" s="145" t="s">
        <v>148</v>
      </c>
      <c r="H678" s="37" t="s">
        <v>187</v>
      </c>
      <c r="I678" s="38" t="s">
        <v>110</v>
      </c>
      <c r="J678" s="87">
        <f t="shared" si="276"/>
        <v>10000</v>
      </c>
      <c r="K678" s="159">
        <f t="shared" si="276"/>
        <v>10000</v>
      </c>
      <c r="L678" s="159">
        <f t="shared" si="276"/>
        <v>9600</v>
      </c>
    </row>
    <row r="679" spans="1:12">
      <c r="A679" s="2" t="s">
        <v>109</v>
      </c>
      <c r="B679" s="151" t="s">
        <v>403</v>
      </c>
      <c r="C679" s="145" t="s">
        <v>49</v>
      </c>
      <c r="D679" s="145" t="s">
        <v>20</v>
      </c>
      <c r="E679" s="145" t="s">
        <v>19</v>
      </c>
      <c r="F679" s="145" t="s">
        <v>134</v>
      </c>
      <c r="G679" s="145" t="s">
        <v>148</v>
      </c>
      <c r="H679" s="1" t="s">
        <v>187</v>
      </c>
      <c r="I679" s="38" t="s">
        <v>111</v>
      </c>
      <c r="J679" s="87">
        <v>10000</v>
      </c>
      <c r="K679" s="159">
        <v>10000</v>
      </c>
      <c r="L679" s="159">
        <v>9600</v>
      </c>
    </row>
    <row r="680" spans="1:12" s="147" customFormat="1">
      <c r="A680" s="96"/>
      <c r="B680" s="226"/>
      <c r="C680" s="145"/>
      <c r="D680" s="145"/>
      <c r="E680" s="145"/>
      <c r="F680" s="145"/>
      <c r="G680" s="145"/>
      <c r="H680" s="38"/>
      <c r="I680" s="228"/>
      <c r="J680" s="159"/>
      <c r="K680" s="159"/>
      <c r="L680" s="159"/>
    </row>
    <row r="681" spans="1:12" ht="25.5">
      <c r="A681" s="227" t="s">
        <v>411</v>
      </c>
      <c r="B681" s="48" t="s">
        <v>405</v>
      </c>
      <c r="C681" s="97"/>
      <c r="D681" s="97"/>
      <c r="E681" s="112"/>
      <c r="F681" s="97"/>
      <c r="G681" s="97"/>
      <c r="H681" s="97"/>
      <c r="I681" s="44"/>
      <c r="J681" s="122">
        <f>J682</f>
        <v>2935867</v>
      </c>
      <c r="K681" s="122">
        <f t="shared" ref="K681:L683" si="277">K682</f>
        <v>2962777.96</v>
      </c>
      <c r="L681" s="122">
        <f t="shared" si="277"/>
        <v>2989958.74</v>
      </c>
    </row>
    <row r="682" spans="1:12" ht="15.75">
      <c r="A682" s="26" t="s">
        <v>32</v>
      </c>
      <c r="B682" s="27" t="s">
        <v>405</v>
      </c>
      <c r="C682" s="27" t="s">
        <v>20</v>
      </c>
      <c r="D682" s="1"/>
      <c r="E682" s="1"/>
      <c r="F682" s="1"/>
      <c r="G682" s="1"/>
      <c r="H682" s="1"/>
      <c r="I682" s="1"/>
      <c r="J682" s="115">
        <f>J683</f>
        <v>2935867</v>
      </c>
      <c r="K682" s="115">
        <f t="shared" si="277"/>
        <v>2962777.96</v>
      </c>
      <c r="L682" s="115">
        <f t="shared" si="277"/>
        <v>2989958.74</v>
      </c>
    </row>
    <row r="683" spans="1:12" ht="38.25">
      <c r="A683" s="4" t="s">
        <v>33</v>
      </c>
      <c r="B683" s="14" t="s">
        <v>405</v>
      </c>
      <c r="C683" s="14" t="s">
        <v>20</v>
      </c>
      <c r="D683" s="14" t="s">
        <v>13</v>
      </c>
      <c r="E683" s="14"/>
      <c r="F683" s="14"/>
      <c r="G683" s="14"/>
      <c r="H683" s="1"/>
      <c r="I683" s="1"/>
      <c r="J683" s="116">
        <f>J684</f>
        <v>2935867</v>
      </c>
      <c r="K683" s="116">
        <f t="shared" si="277"/>
        <v>2962777.96</v>
      </c>
      <c r="L683" s="116">
        <f t="shared" si="277"/>
        <v>2989958.74</v>
      </c>
    </row>
    <row r="684" spans="1:12">
      <c r="A684" s="7" t="s">
        <v>83</v>
      </c>
      <c r="B684" s="1" t="s">
        <v>405</v>
      </c>
      <c r="C684" s="1" t="s">
        <v>20</v>
      </c>
      <c r="D684" s="1" t="s">
        <v>13</v>
      </c>
      <c r="E684" s="1" t="s">
        <v>82</v>
      </c>
      <c r="F684" s="1" t="s">
        <v>70</v>
      </c>
      <c r="G684" s="1" t="s">
        <v>148</v>
      </c>
      <c r="H684" s="1" t="s">
        <v>149</v>
      </c>
      <c r="I684" s="1"/>
      <c r="J684" s="87">
        <f>J685+J688</f>
        <v>2935867</v>
      </c>
      <c r="K684" s="159">
        <f t="shared" ref="K684:L684" si="278">K685+K688</f>
        <v>2962777.96</v>
      </c>
      <c r="L684" s="159">
        <f t="shared" si="278"/>
        <v>2989958.74</v>
      </c>
    </row>
    <row r="685" spans="1:12">
      <c r="A685" s="5" t="s">
        <v>328</v>
      </c>
      <c r="B685" s="1" t="s">
        <v>405</v>
      </c>
      <c r="C685" s="1" t="s">
        <v>20</v>
      </c>
      <c r="D685" s="1" t="s">
        <v>13</v>
      </c>
      <c r="E685" s="1" t="s">
        <v>82</v>
      </c>
      <c r="F685" s="1" t="s">
        <v>70</v>
      </c>
      <c r="G685" s="1" t="s">
        <v>148</v>
      </c>
      <c r="H685" s="1" t="s">
        <v>170</v>
      </c>
      <c r="I685" s="1"/>
      <c r="J685" s="87">
        <f>J686</f>
        <v>2691167</v>
      </c>
      <c r="K685" s="159">
        <f t="shared" ref="K685:L686" si="279">K686</f>
        <v>2718077.96</v>
      </c>
      <c r="L685" s="159">
        <f t="shared" si="279"/>
        <v>2745258.74</v>
      </c>
    </row>
    <row r="686" spans="1:12" ht="38.25">
      <c r="A686" s="81" t="s">
        <v>96</v>
      </c>
      <c r="B686" s="1" t="s">
        <v>405</v>
      </c>
      <c r="C686" s="1" t="s">
        <v>20</v>
      </c>
      <c r="D686" s="1" t="s">
        <v>13</v>
      </c>
      <c r="E686" s="1" t="s">
        <v>82</v>
      </c>
      <c r="F686" s="1" t="s">
        <v>70</v>
      </c>
      <c r="G686" s="1" t="s">
        <v>148</v>
      </c>
      <c r="H686" s="1" t="s">
        <v>170</v>
      </c>
      <c r="I686" s="13" t="s">
        <v>92</v>
      </c>
      <c r="J686" s="87">
        <f>J687</f>
        <v>2691167</v>
      </c>
      <c r="K686" s="159">
        <f t="shared" si="279"/>
        <v>2718077.96</v>
      </c>
      <c r="L686" s="159">
        <f t="shared" si="279"/>
        <v>2745258.74</v>
      </c>
    </row>
    <row r="687" spans="1:12">
      <c r="A687" s="81" t="s">
        <v>103</v>
      </c>
      <c r="B687" s="1" t="s">
        <v>405</v>
      </c>
      <c r="C687" s="1" t="s">
        <v>20</v>
      </c>
      <c r="D687" s="1" t="s">
        <v>13</v>
      </c>
      <c r="E687" s="1" t="s">
        <v>82</v>
      </c>
      <c r="F687" s="1" t="s">
        <v>70</v>
      </c>
      <c r="G687" s="1" t="s">
        <v>148</v>
      </c>
      <c r="H687" s="1" t="s">
        <v>170</v>
      </c>
      <c r="I687" s="13" t="s">
        <v>102</v>
      </c>
      <c r="J687" s="87">
        <v>2691167</v>
      </c>
      <c r="K687" s="159">
        <v>2718077.96</v>
      </c>
      <c r="L687" s="159">
        <v>2745258.74</v>
      </c>
    </row>
    <row r="688" spans="1:12" ht="25.5">
      <c r="A688" s="5" t="s">
        <v>329</v>
      </c>
      <c r="B688" s="1" t="s">
        <v>405</v>
      </c>
      <c r="C688" s="1" t="s">
        <v>20</v>
      </c>
      <c r="D688" s="1" t="s">
        <v>13</v>
      </c>
      <c r="E688" s="1" t="s">
        <v>82</v>
      </c>
      <c r="F688" s="1" t="s">
        <v>70</v>
      </c>
      <c r="G688" s="1" t="s">
        <v>148</v>
      </c>
      <c r="H688" s="1" t="s">
        <v>171</v>
      </c>
      <c r="I688" s="13"/>
      <c r="J688" s="87">
        <f>J689+J691</f>
        <v>244700</v>
      </c>
      <c r="K688" s="159">
        <f t="shared" ref="K688:L688" si="280">K689+K691</f>
        <v>244700</v>
      </c>
      <c r="L688" s="159">
        <f t="shared" si="280"/>
        <v>244700</v>
      </c>
    </row>
    <row r="689" spans="1:12" ht="38.25">
      <c r="A689" s="81" t="s">
        <v>96</v>
      </c>
      <c r="B689" s="1" t="s">
        <v>405</v>
      </c>
      <c r="C689" s="1" t="s">
        <v>20</v>
      </c>
      <c r="D689" s="1" t="s">
        <v>13</v>
      </c>
      <c r="E689" s="1" t="s">
        <v>82</v>
      </c>
      <c r="F689" s="1" t="s">
        <v>70</v>
      </c>
      <c r="G689" s="1" t="s">
        <v>148</v>
      </c>
      <c r="H689" s="1" t="s">
        <v>171</v>
      </c>
      <c r="I689" s="13" t="s">
        <v>92</v>
      </c>
      <c r="J689" s="87">
        <f>J690</f>
        <v>124700</v>
      </c>
      <c r="K689" s="159">
        <f t="shared" ref="K689:L689" si="281">K690</f>
        <v>124700</v>
      </c>
      <c r="L689" s="159">
        <f t="shared" si="281"/>
        <v>124700</v>
      </c>
    </row>
    <row r="690" spans="1:12">
      <c r="A690" s="81" t="s">
        <v>103</v>
      </c>
      <c r="B690" s="1" t="s">
        <v>405</v>
      </c>
      <c r="C690" s="1" t="s">
        <v>20</v>
      </c>
      <c r="D690" s="1" t="s">
        <v>13</v>
      </c>
      <c r="E690" s="1" t="s">
        <v>82</v>
      </c>
      <c r="F690" s="1" t="s">
        <v>70</v>
      </c>
      <c r="G690" s="1" t="s">
        <v>148</v>
      </c>
      <c r="H690" s="1" t="s">
        <v>171</v>
      </c>
      <c r="I690" s="13" t="s">
        <v>102</v>
      </c>
      <c r="J690" s="87">
        <v>124700</v>
      </c>
      <c r="K690" s="159">
        <v>124700</v>
      </c>
      <c r="L690" s="159">
        <v>124700</v>
      </c>
    </row>
    <row r="691" spans="1:12" ht="25.5">
      <c r="A691" s="157" t="s">
        <v>260</v>
      </c>
      <c r="B691" s="1" t="s">
        <v>405</v>
      </c>
      <c r="C691" s="1" t="s">
        <v>20</v>
      </c>
      <c r="D691" s="1" t="s">
        <v>13</v>
      </c>
      <c r="E691" s="1" t="s">
        <v>82</v>
      </c>
      <c r="F691" s="1" t="s">
        <v>70</v>
      </c>
      <c r="G691" s="1" t="s">
        <v>148</v>
      </c>
      <c r="H691" s="1" t="s">
        <v>171</v>
      </c>
      <c r="I691" s="13" t="s">
        <v>94</v>
      </c>
      <c r="J691" s="87">
        <f>J692</f>
        <v>120000</v>
      </c>
      <c r="K691" s="159">
        <f t="shared" ref="K691:L691" si="282">K692</f>
        <v>120000</v>
      </c>
      <c r="L691" s="159">
        <f t="shared" si="282"/>
        <v>120000</v>
      </c>
    </row>
    <row r="692" spans="1:12" ht="25.5">
      <c r="A692" s="81" t="s">
        <v>98</v>
      </c>
      <c r="B692" s="1" t="s">
        <v>405</v>
      </c>
      <c r="C692" s="1" t="s">
        <v>20</v>
      </c>
      <c r="D692" s="1" t="s">
        <v>13</v>
      </c>
      <c r="E692" s="1" t="s">
        <v>82</v>
      </c>
      <c r="F692" s="1" t="s">
        <v>70</v>
      </c>
      <c r="G692" s="1" t="s">
        <v>148</v>
      </c>
      <c r="H692" s="1" t="s">
        <v>171</v>
      </c>
      <c r="I692" s="13" t="s">
        <v>95</v>
      </c>
      <c r="J692" s="87">
        <v>120000</v>
      </c>
      <c r="K692" s="159">
        <v>120000</v>
      </c>
      <c r="L692" s="159">
        <v>120000</v>
      </c>
    </row>
    <row r="693" spans="1:12" s="147" customFormat="1">
      <c r="A693" s="143"/>
      <c r="B693" s="148"/>
      <c r="C693" s="148"/>
      <c r="D693" s="148"/>
      <c r="E693" s="145"/>
      <c r="F693" s="145"/>
      <c r="G693" s="145"/>
      <c r="H693" s="38"/>
      <c r="I693" s="38"/>
      <c r="J693" s="159"/>
      <c r="K693" s="159"/>
      <c r="L693" s="159"/>
    </row>
    <row r="694" spans="1:12" s="147" customFormat="1" ht="25.5">
      <c r="A694" s="229" t="s">
        <v>412</v>
      </c>
      <c r="B694" s="180" t="s">
        <v>404</v>
      </c>
      <c r="C694" s="181"/>
      <c r="D694" s="181"/>
      <c r="E694" s="195"/>
      <c r="F694" s="195"/>
      <c r="G694" s="195"/>
      <c r="H694" s="195"/>
      <c r="I694" s="196"/>
      <c r="J694" s="182">
        <f>J695</f>
        <v>1865585</v>
      </c>
      <c r="K694" s="182">
        <f t="shared" ref="K694:L697" si="283">K695</f>
        <v>1883050.67</v>
      </c>
      <c r="L694" s="182">
        <f t="shared" si="283"/>
        <v>1900691.18</v>
      </c>
    </row>
    <row r="695" spans="1:12" ht="15.75">
      <c r="A695" s="26" t="s">
        <v>32</v>
      </c>
      <c r="B695" s="175" t="s">
        <v>404</v>
      </c>
      <c r="C695" s="176" t="s">
        <v>20</v>
      </c>
      <c r="D695" s="176"/>
      <c r="E695" s="176"/>
      <c r="F695" s="176"/>
      <c r="G695" s="176"/>
      <c r="H695" s="176"/>
      <c r="I695" s="177"/>
      <c r="J695" s="178">
        <f>J696</f>
        <v>1865585</v>
      </c>
      <c r="K695" s="178">
        <f t="shared" si="283"/>
        <v>1883050.67</v>
      </c>
      <c r="L695" s="178">
        <f t="shared" si="283"/>
        <v>1900691.18</v>
      </c>
    </row>
    <row r="696" spans="1:12" ht="25.5">
      <c r="A696" s="19" t="s">
        <v>34</v>
      </c>
      <c r="B696" s="14" t="s">
        <v>404</v>
      </c>
      <c r="C696" s="14" t="s">
        <v>20</v>
      </c>
      <c r="D696" s="14" t="s">
        <v>3</v>
      </c>
      <c r="E696" s="14"/>
      <c r="F696" s="14"/>
      <c r="G696" s="14"/>
      <c r="H696" s="1"/>
      <c r="I696" s="13"/>
      <c r="J696" s="116">
        <f>J697</f>
        <v>1865585</v>
      </c>
      <c r="K696" s="116">
        <f t="shared" si="283"/>
        <v>1883050.67</v>
      </c>
      <c r="L696" s="116">
        <f t="shared" si="283"/>
        <v>1900691.18</v>
      </c>
    </row>
    <row r="697" spans="1:12">
      <c r="A697" s="7" t="s">
        <v>83</v>
      </c>
      <c r="B697" s="1" t="s">
        <v>404</v>
      </c>
      <c r="C697" s="1" t="s">
        <v>20</v>
      </c>
      <c r="D697" s="1" t="s">
        <v>3</v>
      </c>
      <c r="E697" s="1" t="s">
        <v>82</v>
      </c>
      <c r="F697" s="1" t="s">
        <v>70</v>
      </c>
      <c r="G697" s="1" t="s">
        <v>148</v>
      </c>
      <c r="H697" s="1" t="s">
        <v>149</v>
      </c>
      <c r="I697" s="13"/>
      <c r="J697" s="87">
        <f>J698</f>
        <v>1865585</v>
      </c>
      <c r="K697" s="159">
        <f t="shared" si="283"/>
        <v>1883050.67</v>
      </c>
      <c r="L697" s="159">
        <f t="shared" si="283"/>
        <v>1900691.18</v>
      </c>
    </row>
    <row r="698" spans="1:12">
      <c r="A698" s="11" t="s">
        <v>274</v>
      </c>
      <c r="B698" s="148" t="s">
        <v>404</v>
      </c>
      <c r="C698" s="1" t="s">
        <v>20</v>
      </c>
      <c r="D698" s="1" t="s">
        <v>3</v>
      </c>
      <c r="E698" s="1" t="s">
        <v>82</v>
      </c>
      <c r="F698" s="1" t="s">
        <v>70</v>
      </c>
      <c r="G698" s="1" t="s">
        <v>148</v>
      </c>
      <c r="H698" s="1" t="s">
        <v>275</v>
      </c>
      <c r="I698" s="13"/>
      <c r="J698" s="87">
        <f>J699+J701</f>
        <v>1865585</v>
      </c>
      <c r="K698" s="159">
        <f t="shared" ref="K698:L698" si="284">K699+K701</f>
        <v>1883050.67</v>
      </c>
      <c r="L698" s="159">
        <f t="shared" si="284"/>
        <v>1900691.18</v>
      </c>
    </row>
    <row r="699" spans="1:12" ht="38.25">
      <c r="A699" s="81" t="s">
        <v>96</v>
      </c>
      <c r="B699" s="148" t="s">
        <v>404</v>
      </c>
      <c r="C699" s="1" t="s">
        <v>20</v>
      </c>
      <c r="D699" s="1" t="s">
        <v>3</v>
      </c>
      <c r="E699" s="1" t="s">
        <v>82</v>
      </c>
      <c r="F699" s="1" t="s">
        <v>70</v>
      </c>
      <c r="G699" s="1" t="s">
        <v>148</v>
      </c>
      <c r="H699" s="148" t="s">
        <v>275</v>
      </c>
      <c r="I699" s="13" t="s">
        <v>92</v>
      </c>
      <c r="J699" s="87">
        <f>J700</f>
        <v>1801585</v>
      </c>
      <c r="K699" s="159">
        <f t="shared" ref="K699:L699" si="285">K700</f>
        <v>1819050.67</v>
      </c>
      <c r="L699" s="159">
        <f t="shared" si="285"/>
        <v>1836691.18</v>
      </c>
    </row>
    <row r="700" spans="1:12">
      <c r="A700" s="81" t="s">
        <v>103</v>
      </c>
      <c r="B700" s="148" t="s">
        <v>404</v>
      </c>
      <c r="C700" s="1" t="s">
        <v>20</v>
      </c>
      <c r="D700" s="1" t="s">
        <v>3</v>
      </c>
      <c r="E700" s="1" t="s">
        <v>82</v>
      </c>
      <c r="F700" s="1" t="s">
        <v>70</v>
      </c>
      <c r="G700" s="1" t="s">
        <v>148</v>
      </c>
      <c r="H700" s="148" t="s">
        <v>275</v>
      </c>
      <c r="I700" s="13" t="s">
        <v>102</v>
      </c>
      <c r="J700" s="87">
        <v>1801585</v>
      </c>
      <c r="K700" s="159">
        <v>1819050.67</v>
      </c>
      <c r="L700" s="159">
        <v>1836691.18</v>
      </c>
    </row>
    <row r="701" spans="1:12" ht="25.5">
      <c r="A701" s="157" t="s">
        <v>260</v>
      </c>
      <c r="B701" s="148" t="s">
        <v>404</v>
      </c>
      <c r="C701" s="1" t="s">
        <v>20</v>
      </c>
      <c r="D701" s="1" t="s">
        <v>3</v>
      </c>
      <c r="E701" s="1" t="s">
        <v>82</v>
      </c>
      <c r="F701" s="1" t="s">
        <v>70</v>
      </c>
      <c r="G701" s="1" t="s">
        <v>148</v>
      </c>
      <c r="H701" s="148" t="s">
        <v>275</v>
      </c>
      <c r="I701" s="13" t="s">
        <v>94</v>
      </c>
      <c r="J701" s="87">
        <f>J702</f>
        <v>64000</v>
      </c>
      <c r="K701" s="159">
        <f t="shared" ref="K701:L701" si="286">K702</f>
        <v>64000</v>
      </c>
      <c r="L701" s="159">
        <f t="shared" si="286"/>
        <v>64000</v>
      </c>
    </row>
    <row r="702" spans="1:12" ht="27.75" customHeight="1">
      <c r="A702" s="81" t="s">
        <v>98</v>
      </c>
      <c r="B702" s="148" t="s">
        <v>404</v>
      </c>
      <c r="C702" s="1" t="s">
        <v>20</v>
      </c>
      <c r="D702" s="1" t="s">
        <v>3</v>
      </c>
      <c r="E702" s="1" t="s">
        <v>82</v>
      </c>
      <c r="F702" s="1" t="s">
        <v>70</v>
      </c>
      <c r="G702" s="1" t="s">
        <v>148</v>
      </c>
      <c r="H702" s="148" t="s">
        <v>275</v>
      </c>
      <c r="I702" s="13" t="s">
        <v>95</v>
      </c>
      <c r="J702" s="87">
        <v>64000</v>
      </c>
      <c r="K702" s="159">
        <v>64000</v>
      </c>
      <c r="L702" s="159">
        <v>64000</v>
      </c>
    </row>
    <row r="703" spans="1:12">
      <c r="A703" s="2"/>
      <c r="B703" s="50"/>
      <c r="C703" s="1"/>
      <c r="D703" s="1"/>
      <c r="E703" s="1"/>
      <c r="F703" s="1"/>
      <c r="G703" s="1"/>
      <c r="H703" s="1"/>
      <c r="I703" s="13"/>
      <c r="J703" s="87"/>
      <c r="K703" s="159"/>
      <c r="L703" s="159"/>
    </row>
    <row r="704" spans="1:12">
      <c r="A704" s="209" t="s">
        <v>390</v>
      </c>
      <c r="B704" s="210"/>
      <c r="C704" s="211"/>
      <c r="D704" s="212"/>
      <c r="E704" s="210"/>
      <c r="F704" s="210"/>
      <c r="G704" s="210"/>
      <c r="H704" s="213"/>
      <c r="I704" s="213"/>
      <c r="J704" s="214"/>
      <c r="K704" s="214">
        <v>16087000</v>
      </c>
      <c r="L704" s="214">
        <v>32828000</v>
      </c>
    </row>
    <row r="705" spans="1:12" ht="15">
      <c r="A705" s="73" t="s">
        <v>39</v>
      </c>
      <c r="B705" s="74"/>
      <c r="C705" s="75"/>
      <c r="D705" s="75"/>
      <c r="E705" s="75"/>
      <c r="F705" s="75"/>
      <c r="G705" s="75"/>
      <c r="H705" s="75"/>
      <c r="I705" s="75"/>
      <c r="J705" s="123">
        <f>J12+J134+J354+J330+J681+J694+J289+J704</f>
        <v>975148001.93999994</v>
      </c>
      <c r="K705" s="123">
        <f>K12+K134+K354+K330+K681+K694+K289+K704</f>
        <v>900335165.51999998</v>
      </c>
      <c r="L705" s="123">
        <f>L12+L134+L354+L330+L681+L694+L289+L704</f>
        <v>922464352.67999995</v>
      </c>
    </row>
    <row r="706" spans="1:12" s="147" customFormat="1" ht="15">
      <c r="A706" s="219"/>
      <c r="B706" s="219"/>
      <c r="C706" s="220"/>
      <c r="D706" s="220"/>
      <c r="E706" s="220"/>
      <c r="F706" s="220"/>
      <c r="G706" s="220"/>
      <c r="H706" s="220"/>
      <c r="I706" s="220"/>
      <c r="J706" s="221"/>
      <c r="K706" s="221"/>
      <c r="L706" s="221"/>
    </row>
    <row r="707" spans="1:12">
      <c r="A707" s="66" t="s">
        <v>115</v>
      </c>
      <c r="H707" s="23" t="s">
        <v>130</v>
      </c>
      <c r="J707" s="124">
        <f>J15+J19+J23+J30+J46+J53+J115+J122+J137+J153+J186+J211+J217+J236+J264+J363+J405+J401+J413+J441+J462+J466+J475+J488+J505+J516+J527+J544+J561+J568+J573+J586+J590+J611+J624+J629+J644+J648+J668+J675+J292+J307+J314+J319+J334</f>
        <v>700282454.38</v>
      </c>
      <c r="K707" s="124">
        <f>K15+K19+K23+K30+K46+K53+K115+K122+K137+K153+K186+K211+K217+K236+K264+K363+K405+K401+K413+K441+K462+K466+K475+K488+K505+K516+K527+K544+K561+K568+K573+K586+K590+K611+K624+K629+K644+K648+K668+K675+K292+K307+K314+K319+K334</f>
        <v>613436566.08000028</v>
      </c>
      <c r="L707" s="124">
        <f>L15+L19+L23+L30+L46+L53+L115+L122+L137+L153+L186+L211+L217+L236+L264+L363+L405+L401+L413+L441+L462+L466+L475+L488+L505+L516+L527+L544+L561+L568+L573+L586+L590+L611+L624+L629+L644+L648+L668+L675+L292+L307+L314+L319+L334</f>
        <v>617466192.73000002</v>
      </c>
    </row>
    <row r="708" spans="1:12" s="147" customFormat="1" ht="15">
      <c r="A708" s="219"/>
      <c r="B708" s="219"/>
      <c r="C708" s="220"/>
      <c r="D708" s="220"/>
      <c r="E708" s="220"/>
      <c r="F708" s="220"/>
      <c r="G708" s="220"/>
      <c r="H708" s="220"/>
      <c r="I708" s="220"/>
      <c r="J708" s="221"/>
      <c r="K708" s="221"/>
      <c r="L708" s="221"/>
    </row>
    <row r="709" spans="1:12" s="147" customFormat="1" ht="15">
      <c r="A709" s="219"/>
      <c r="B709" s="219"/>
      <c r="C709" s="220"/>
      <c r="D709" s="220"/>
      <c r="E709" s="220"/>
      <c r="F709" s="220"/>
      <c r="G709" s="220"/>
      <c r="H709" s="220"/>
      <c r="I709" s="220"/>
      <c r="J709" s="221"/>
      <c r="K709" s="221"/>
      <c r="L709" s="221"/>
    </row>
    <row r="710" spans="1:12" s="147" customFormat="1" ht="15">
      <c r="A710" s="219"/>
      <c r="B710" s="219"/>
      <c r="C710" s="220"/>
      <c r="D710" s="220"/>
      <c r="E710" s="220"/>
      <c r="F710" s="220"/>
      <c r="G710" s="220"/>
      <c r="H710" s="220"/>
      <c r="I710" s="220"/>
      <c r="J710" s="221"/>
      <c r="K710" s="221"/>
      <c r="L710" s="221"/>
    </row>
    <row r="711" spans="1:12" s="147" customFormat="1" ht="15">
      <c r="A711" s="219"/>
      <c r="B711" s="219"/>
      <c r="C711" s="220"/>
      <c r="D711" s="220"/>
      <c r="E711" s="220"/>
      <c r="F711" s="220"/>
      <c r="G711" s="220"/>
      <c r="H711" s="220"/>
      <c r="I711" s="220"/>
      <c r="J711" s="221"/>
      <c r="K711" s="221"/>
      <c r="L711" s="221"/>
    </row>
    <row r="712" spans="1:12" s="147" customFormat="1" ht="15">
      <c r="A712" s="219"/>
      <c r="B712" s="219"/>
      <c r="C712" s="220"/>
      <c r="D712" s="220"/>
      <c r="E712" s="220"/>
      <c r="F712" s="220"/>
      <c r="G712" s="220"/>
      <c r="H712" s="220"/>
      <c r="I712" s="220"/>
      <c r="J712" s="221"/>
      <c r="K712" s="221"/>
      <c r="L712" s="221"/>
    </row>
    <row r="713" spans="1:12" s="147" customFormat="1" ht="15">
      <c r="A713" s="219"/>
      <c r="B713" s="219"/>
      <c r="C713" s="220"/>
      <c r="D713" s="220"/>
      <c r="E713" s="220"/>
      <c r="F713" s="220"/>
      <c r="G713" s="220"/>
      <c r="H713" s="220"/>
      <c r="I713" s="220"/>
      <c r="J713" s="221"/>
      <c r="K713" s="221"/>
      <c r="L713" s="221"/>
    </row>
    <row r="714" spans="1:12" s="147" customFormat="1" ht="15">
      <c r="A714" s="219"/>
      <c r="B714" s="219"/>
      <c r="C714" s="220"/>
      <c r="D714" s="220"/>
      <c r="E714" s="220"/>
      <c r="F714" s="220"/>
      <c r="G714" s="220"/>
      <c r="H714" s="220"/>
      <c r="I714" s="220"/>
      <c r="J714" s="221"/>
      <c r="K714" s="221"/>
      <c r="L714" s="221"/>
    </row>
    <row r="715" spans="1:12">
      <c r="J715" s="88">
        <v>632905897.89999998</v>
      </c>
      <c r="K715" s="217">
        <f>627379898.9+K704</f>
        <v>643466898.89999998</v>
      </c>
      <c r="L715" s="217">
        <f>623724598.9+L704</f>
        <v>656552598.89999998</v>
      </c>
    </row>
    <row r="716" spans="1:12">
      <c r="A716" s="66"/>
      <c r="J716" s="88">
        <v>5000000</v>
      </c>
      <c r="K716" s="218"/>
      <c r="L716" s="218"/>
    </row>
    <row r="717" spans="1:12" s="147" customFormat="1">
      <c r="A717" s="66"/>
      <c r="B717" s="155"/>
      <c r="C717" s="155"/>
      <c r="D717" s="155"/>
      <c r="E717" s="113"/>
      <c r="F717" s="155"/>
      <c r="G717" s="155"/>
      <c r="H717" s="155"/>
      <c r="I717" s="155"/>
      <c r="J717" s="88">
        <v>337242104.04000002</v>
      </c>
      <c r="K717" s="217">
        <v>256868266.62</v>
      </c>
      <c r="L717" s="217">
        <v>265911753.78</v>
      </c>
    </row>
    <row r="718" spans="1:12" s="147" customFormat="1">
      <c r="A718" s="66"/>
      <c r="B718" s="155"/>
      <c r="C718" s="155"/>
      <c r="D718" s="155"/>
      <c r="E718" s="113"/>
      <c r="F718" s="155"/>
      <c r="G718" s="155"/>
      <c r="H718" s="155"/>
      <c r="I718" s="155"/>
      <c r="J718" s="88">
        <f>SUM(J715:J717)</f>
        <v>975148001.94000006</v>
      </c>
      <c r="K718" s="88">
        <f t="shared" ref="K718:L718" si="287">SUM(K715:K717)</f>
        <v>900335165.51999998</v>
      </c>
      <c r="L718" s="88">
        <f t="shared" si="287"/>
        <v>922464352.67999995</v>
      </c>
    </row>
    <row r="719" spans="1:12" s="147" customFormat="1">
      <c r="A719" s="66"/>
      <c r="B719" s="155"/>
      <c r="C719" s="155"/>
      <c r="D719" s="155"/>
      <c r="E719" s="113"/>
      <c r="F719" s="155"/>
      <c r="G719" s="155"/>
      <c r="H719" s="155"/>
      <c r="I719" s="155"/>
      <c r="J719" s="88">
        <f>J705-J718</f>
        <v>0</v>
      </c>
      <c r="K719" s="88">
        <f t="shared" ref="K719:L719" si="288">K705-K718</f>
        <v>0</v>
      </c>
      <c r="L719" s="88">
        <f t="shared" si="288"/>
        <v>0</v>
      </c>
    </row>
    <row r="720" spans="1:12" s="147" customFormat="1">
      <c r="A720" s="66"/>
      <c r="B720" s="155"/>
      <c r="C720" s="155"/>
      <c r="D720" s="155"/>
      <c r="E720" s="113"/>
      <c r="F720" s="155"/>
      <c r="G720" s="155"/>
      <c r="H720" s="155"/>
      <c r="I720" s="155"/>
      <c r="J720" s="88"/>
    </row>
    <row r="721" spans="1:1">
      <c r="A721" s="66"/>
    </row>
    <row r="722" spans="1:1">
      <c r="A722" s="66"/>
    </row>
    <row r="723" spans="1:1">
      <c r="A723" s="66"/>
    </row>
    <row r="724" spans="1:1">
      <c r="A724" s="66"/>
    </row>
    <row r="725" spans="1:1">
      <c r="A725" s="66"/>
    </row>
    <row r="726" spans="1:1">
      <c r="A726" s="66"/>
    </row>
    <row r="727" spans="1:1">
      <c r="A727" s="66"/>
    </row>
    <row r="728" spans="1:1">
      <c r="A728" s="66"/>
    </row>
    <row r="729" spans="1:1">
      <c r="A729" s="66"/>
    </row>
    <row r="730" spans="1:1">
      <c r="A730" s="66"/>
    </row>
    <row r="731" spans="1:1">
      <c r="A731" s="66"/>
    </row>
    <row r="732" spans="1:1">
      <c r="A732" s="66"/>
    </row>
    <row r="733" spans="1:1">
      <c r="A733" s="66"/>
    </row>
    <row r="734" spans="1:1">
      <c r="A734" s="66"/>
    </row>
    <row r="735" spans="1:1">
      <c r="A735" s="66"/>
    </row>
    <row r="736" spans="1:1">
      <c r="A736" s="66"/>
    </row>
    <row r="737" spans="1:1">
      <c r="A737" s="66"/>
    </row>
    <row r="738" spans="1:1">
      <c r="A738" s="66"/>
    </row>
    <row r="739" spans="1:1">
      <c r="A739" s="68"/>
    </row>
    <row r="741" spans="1:1">
      <c r="A741" s="67"/>
    </row>
  </sheetData>
  <mergeCells count="9">
    <mergeCell ref="A6:L6"/>
    <mergeCell ref="E10:H10"/>
    <mergeCell ref="J8:L8"/>
    <mergeCell ref="A8:A9"/>
    <mergeCell ref="B8:B9"/>
    <mergeCell ref="C8:C9"/>
    <mergeCell ref="D8:D9"/>
    <mergeCell ref="E8:H9"/>
    <mergeCell ref="I8:I9"/>
  </mergeCells>
  <phoneticPr fontId="0" type="noConversion"/>
  <pageMargins left="0.59055118110236227" right="0.19685039370078741" top="0.39370078740157483" bottom="0.39370078740157483" header="0.15748031496062992" footer="0.19685039370078741"/>
  <pageSetup paperSize="9" scale="56" firstPageNumber="58" fitToHeight="99" orientation="portrait" r:id="rId1"/>
  <headerFooter alignWithMargins="0">
    <oddFooter>&amp;C&amp;P</oddFooter>
  </headerFooter>
  <rowBreaks count="2" manualBreakCount="2">
    <brk id="130" max="11" man="1"/>
    <brk id="19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разд,подр</vt:lpstr>
      <vt:lpstr>ведомств</vt:lpstr>
      <vt:lpstr>ведомств!Заголовки_для_печати</vt:lpstr>
      <vt:lpstr>'разд,подр'!Заголовки_для_печати</vt:lpstr>
      <vt:lpstr>ведомств!Область_печати</vt:lpstr>
      <vt:lpstr>'разд,подр'!Область_печати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Punyagov</dc:creator>
  <cp:lastModifiedBy>семакова</cp:lastModifiedBy>
  <cp:lastPrinted>2022-12-19T11:57:28Z</cp:lastPrinted>
  <dcterms:created xsi:type="dcterms:W3CDTF">2007-08-13T07:10:11Z</dcterms:created>
  <dcterms:modified xsi:type="dcterms:W3CDTF">2022-12-19T11:57:31Z</dcterms:modified>
</cp:coreProperties>
</file>